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<sst xmlns="http://schemas.openxmlformats.org/spreadsheetml/2006/main" count="479" uniqueCount="157">
  <si>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</si>
  <si>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</si>
  <si>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</si>
  <si>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</si>
  <si>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</si>
  <si>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</si>
  <si>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</si>
  <si>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</si>
  <si>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</si>
  <si>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</si>
  <si>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</si>
  <si>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</si>
  <si>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</si>
  <si>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</si>
  <si>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</si>
  <si>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</si>
  <si>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</si>
  <si>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</si>
  <si>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</si>
  <si>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</si>
  <si>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</si>
  <si>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</si>
  <si>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</si>
  <si>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</si>
  <si>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</si>
  <si>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</si>
  <si>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</si>
  <si>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</si>
  <si>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</si>
  <si>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</si>
  <si>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</si>
  <si>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</si>
  <si>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</si>
  <si>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</si>
  <si>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</si>
  <si>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</si>
  <si>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</si>
  <si>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</si>
  <si>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</si>
  <si>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</si>
  <si>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</si>
  <si>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</si>
  <si>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</si>
  <si>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</si>
  <si>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</si>
  <si>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</si>
  <si>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</si>
  <si>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</si>
  <si>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</si>
  <si>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</si>
  <si>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</si>
  <si>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</si>
  <si>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</si>
  <si>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</si>
  <si>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</si>
  <si>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</si>
  <si>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</si>
  <si>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</si>
  <si>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</si>
  <si>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</si>
  <si>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</si>
  <si>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</si>
  <si>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</si>
  <si>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</si>
  <si>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</si>
  <si>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</si>
  <si>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</si>
  <si>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</si>
  <si>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</si>
  <si>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</si>
  <si>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</si>
  <si>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</si>
  <si>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</si>
  <si>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</si>
  <si>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</si>
  <si>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</si>
  <si>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</si>
  <si>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</si>
  <si>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</si>
  <si>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</si>
  <si>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</si>
  <si>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</si>
  <si>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</si>
  <si>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</si>
  <si>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</si>
  <si>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</si>
  <si>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</si>
  <si>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</si>
  <si>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</si>
  <si>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</si>
  <si>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</si>
  <si>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</si>
  <si>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</si>
  <si>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</si>
  <si>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</si>
  <si>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</si>
  <si>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</si>
  <si>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</si>
  <si>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</si>
  <si>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</si>
  <si>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</si>
  <si>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</si>
  <si>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</si>
  <si>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</si>
  <si>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</si>
  <si>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</si>
  <si>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</si>
  <si>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</si>
  <si>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</si>
  <si>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</si>
  <si>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</si>
  <si>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</si>
  <si>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</si>
  <si>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</si>
  <si>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</si>
  <si>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</si>
  <si>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</si>
  <si>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</si>
  <si>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% исп.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</si>
  <si>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</si>
  <si>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</si>
  <si>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</si>
  <si>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</si>
  <si>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</si>
  <si>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</si>
  <si>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</si>
  <si>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</si>
  <si>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</si>
  <si>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</si>
  <si>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</si>
  <si>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</si>
  <si>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</si>
  <si>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</si>
  <si>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</si>
  <si>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</si>
  <si>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</si>
  <si>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</si>
  <si>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</si>
  <si>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</si>
  <si>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</si>
  <si>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</si>
  <si>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</si>
  <si>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</si>
  <si>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</si>
  <si>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</si>
  <si>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</si>
  <si>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</si>
  <si>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</si>
  <si>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</si>
  <si>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Откл. к пл. полуг.</t>
  </si>
  <si>
    <t>Белокалитвинского района</t>
  </si>
  <si>
    <t>9 месяцев 2018 года</t>
  </si>
  <si>
    <t>- за выдачу разрешения на установку рекламной конструкции (150)</t>
  </si>
  <si>
    <t xml:space="preserve">по состоянию на 01.10.2018 </t>
  </si>
  <si>
    <t>Исполнение  бюджета Белокалитвинского района по доходам на 01.10.2018 года</t>
  </si>
  <si>
    <t xml:space="preserve">Информация о выполнении плановых назначений по доходам за сентябрь 2018 года по поселениям </t>
  </si>
  <si>
    <t>по состоянию на 01.10.2018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</si>
</sst>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72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0" xfId="0" applyNumberFormat="1" applyFont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vertical="top" wrapText="1"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172" fontId="0" fillId="41" borderId="10" xfId="0" applyNumberFormat="1" applyFont="1" applyFill="1" applyBorder="1" applyAlignment="1">
      <alignment/>
    </xf>
    <xf numFmtId="172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44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12" borderId="10" xfId="0" applyNumberFormat="1" applyFont="1" applyFill="1" applyBorder="1" applyAlignment="1" applyProtection="1">
      <alignment horizontal="right"/>
      <protection/>
    </xf>
    <xf numFmtId="172" fontId="2" fillId="12" borderId="15" xfId="0" applyNumberFormat="1" applyFont="1" applyFill="1" applyBorder="1" applyAlignment="1" applyProtection="1">
      <alignment horizontal="right"/>
      <protection/>
    </xf>
    <xf numFmtId="172" fontId="3" fillId="12" borderId="15" xfId="0" applyNumberFormat="1" applyFont="1" applyFill="1" applyBorder="1" applyAlignment="1" applyProtection="1">
      <alignment horizontal="right"/>
      <protection/>
    </xf>
    <xf numFmtId="172" fontId="0" fillId="36" borderId="14" xfId="0" applyNumberFormat="1" applyFont="1" applyFill="1" applyBorder="1" applyAlignment="1">
      <alignment/>
    </xf>
    <xf numFmtId="172" fontId="11" fillId="36" borderId="14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11" fillId="4" borderId="10" xfId="0" applyNumberFormat="1" applyFont="1" applyFill="1" applyBorder="1" applyAlignment="1">
      <alignment horizontal="right"/>
    </xf>
    <xf numFmtId="172" fontId="3" fillId="42" borderId="13" xfId="0" applyNumberFormat="1" applyFont="1" applyFill="1" applyBorder="1" applyAlignment="1">
      <alignment horizontal="right"/>
    </xf>
    <xf numFmtId="172" fontId="2" fillId="42" borderId="10" xfId="0" applyNumberFormat="1" applyFont="1" applyFill="1" applyBorder="1" applyAlignment="1">
      <alignment horizontal="right"/>
    </xf>
    <xf numFmtId="172" fontId="2" fillId="42" borderId="13" xfId="0" applyNumberFormat="1" applyFont="1" applyFill="1" applyBorder="1" applyAlignment="1">
      <alignment horizontal="right"/>
    </xf>
    <xf numFmtId="172" fontId="2" fillId="42" borderId="36" xfId="0" applyNumberFormat="1" applyFont="1" applyFill="1" applyBorder="1" applyAlignment="1">
      <alignment horizontal="right"/>
    </xf>
    <xf numFmtId="172" fontId="3" fillId="42" borderId="10" xfId="0" applyNumberFormat="1" applyFont="1" applyFill="1" applyBorder="1" applyAlignment="1">
      <alignment/>
    </xf>
    <xf numFmtId="172" fontId="3" fillId="42" borderId="12" xfId="0" applyNumberFormat="1" applyFont="1" applyFill="1" applyBorder="1" applyAlignment="1">
      <alignment/>
    </xf>
    <xf numFmtId="172" fontId="3" fillId="42" borderId="13" xfId="0" applyNumberFormat="1" applyFont="1" applyFill="1" applyBorder="1" applyAlignment="1">
      <alignment/>
    </xf>
    <xf numFmtId="172" fontId="3" fillId="42" borderId="10" xfId="0" applyNumberFormat="1" applyFont="1" applyFill="1" applyBorder="1" applyAlignment="1">
      <alignment horizontal="right"/>
    </xf>
    <xf numFmtId="172" fontId="2" fillId="42" borderId="11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/>
    </xf>
    <xf numFmtId="172" fontId="0" fillId="36" borderId="14" xfId="0" applyNumberFormat="1" applyFill="1" applyBorder="1" applyAlignment="1">
      <alignment horizontal="right"/>
    </xf>
    <xf numFmtId="0" fontId="26" fillId="7" borderId="10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53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2" fontId="9" fillId="0" borderId="0" xfId="0" applyNumberFormat="1" applyFont="1" applyBorder="1" applyAlignment="1" applyProtection="1">
      <alignment horizontal="right"/>
      <protection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42" borderId="12" xfId="0" applyNumberFormat="1" applyFont="1" applyFill="1" applyBorder="1" applyAlignment="1">
      <alignment horizontal="right"/>
    </xf>
    <xf numFmtId="172" fontId="3" fillId="42" borderId="16" xfId="0" applyNumberFormat="1" applyFont="1" applyFill="1" applyBorder="1" applyAlignment="1">
      <alignment/>
    </xf>
    <xf numFmtId="0" fontId="8" fillId="36" borderId="5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/>
    </xf>
    <xf numFmtId="172" fontId="3" fillId="36" borderId="2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38" sqref="BF38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9.75390625" style="47" customWidth="1"/>
    <col min="6" max="7" width="13.00390625" style="47" hidden="1" customWidth="1"/>
    <col min="8" max="8" width="11.75390625" style="47" hidden="1" customWidth="1"/>
    <col min="9" max="9" width="11.00390625" style="47" hidden="1" customWidth="1"/>
    <col min="10" max="11" width="11.37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customWidth="1"/>
    <col min="42" max="42" width="13.00390625" style="1" customWidth="1"/>
    <col min="43" max="43" width="14.25390625" style="1" customWidth="1"/>
    <col min="44" max="44" width="13.375" style="1" customWidth="1"/>
    <col min="45" max="45" width="10.625" style="1" customWidth="1"/>
    <col min="46" max="47" width="12.875" style="47" customWidth="1"/>
    <col min="48" max="48" width="13.25390625" style="47" customWidth="1"/>
    <col min="49" max="49" width="10.00390625" style="100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customWidth="1"/>
    <col min="59" max="59" width="12.75390625" style="1" customWidth="1"/>
    <col min="60" max="60" width="12.625" style="1" customWidth="1"/>
    <col min="61" max="61" width="10.375" style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8" width="12.875" style="47" hidden="1" customWidth="1"/>
    <col min="79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3.25" thickBot="1">
      <c r="A1" s="225" t="s">
        <v>154</v>
      </c>
      <c r="Q1" s="226"/>
      <c r="V1" s="2"/>
      <c r="W1" s="2"/>
      <c r="X1" s="2"/>
      <c r="Y1" s="2"/>
      <c r="AW1" s="2"/>
    </row>
    <row r="2" spans="1:77" s="4" customFormat="1" ht="21" customHeight="1">
      <c r="A2" s="429" t="s">
        <v>0</v>
      </c>
      <c r="B2" s="431" t="s">
        <v>147</v>
      </c>
      <c r="C2" s="432"/>
      <c r="D2" s="432"/>
      <c r="E2" s="433"/>
      <c r="F2" s="434" t="s">
        <v>1</v>
      </c>
      <c r="G2" s="435"/>
      <c r="H2" s="435"/>
      <c r="I2" s="436"/>
      <c r="J2" s="437" t="s">
        <v>2</v>
      </c>
      <c r="K2" s="438"/>
      <c r="L2" s="438"/>
      <c r="M2" s="439"/>
      <c r="N2" s="418" t="s">
        <v>3</v>
      </c>
      <c r="O2" s="419"/>
      <c r="P2" s="419"/>
      <c r="Q2" s="419"/>
      <c r="R2" s="419" t="s">
        <v>4</v>
      </c>
      <c r="S2" s="419"/>
      <c r="T2" s="419"/>
      <c r="U2" s="419"/>
      <c r="V2" s="419" t="s">
        <v>5</v>
      </c>
      <c r="W2" s="419"/>
      <c r="X2" s="419"/>
      <c r="Y2" s="419"/>
      <c r="Z2" s="415" t="s">
        <v>6</v>
      </c>
      <c r="AA2" s="416"/>
      <c r="AB2" s="416"/>
      <c r="AC2" s="417"/>
      <c r="AD2" s="394" t="s">
        <v>103</v>
      </c>
      <c r="AE2" s="395"/>
      <c r="AF2" s="395"/>
      <c r="AG2" s="418"/>
      <c r="AH2" s="394" t="s">
        <v>7</v>
      </c>
      <c r="AI2" s="395"/>
      <c r="AJ2" s="395"/>
      <c r="AK2" s="418"/>
      <c r="AL2" s="419" t="s">
        <v>8</v>
      </c>
      <c r="AM2" s="419"/>
      <c r="AN2" s="419"/>
      <c r="AO2" s="419"/>
      <c r="AP2" s="420" t="s">
        <v>9</v>
      </c>
      <c r="AQ2" s="420"/>
      <c r="AR2" s="420"/>
      <c r="AS2" s="421"/>
      <c r="AT2" s="422" t="s">
        <v>10</v>
      </c>
      <c r="AU2" s="413"/>
      <c r="AV2" s="413"/>
      <c r="AW2" s="414"/>
      <c r="AX2" s="410" t="s">
        <v>11</v>
      </c>
      <c r="AY2" s="411"/>
      <c r="AZ2" s="411"/>
      <c r="BA2" s="412"/>
      <c r="BB2" s="410" t="s">
        <v>12</v>
      </c>
      <c r="BC2" s="411"/>
      <c r="BD2" s="411"/>
      <c r="BE2" s="412"/>
      <c r="BF2" s="411" t="s">
        <v>13</v>
      </c>
      <c r="BG2" s="411"/>
      <c r="BH2" s="411"/>
      <c r="BI2" s="412"/>
      <c r="BJ2" s="413" t="s">
        <v>14</v>
      </c>
      <c r="BK2" s="413"/>
      <c r="BL2" s="413"/>
      <c r="BM2" s="414"/>
      <c r="BN2" s="410" t="s">
        <v>104</v>
      </c>
      <c r="BO2" s="411"/>
      <c r="BP2" s="411"/>
      <c r="BQ2" s="411"/>
      <c r="BR2" s="391" t="s">
        <v>105</v>
      </c>
      <c r="BS2" s="391"/>
      <c r="BT2" s="391"/>
      <c r="BU2" s="391"/>
      <c r="BV2" s="397" t="s">
        <v>15</v>
      </c>
      <c r="BW2" s="391"/>
      <c r="BX2" s="391"/>
      <c r="BY2" s="391"/>
    </row>
    <row r="3" spans="1:83" s="4" customFormat="1" ht="19.5" customHeight="1">
      <c r="A3" s="430"/>
      <c r="B3" s="398" t="s">
        <v>16</v>
      </c>
      <c r="C3" s="400" t="s">
        <v>17</v>
      </c>
      <c r="D3" s="402" t="s">
        <v>18</v>
      </c>
      <c r="E3" s="403"/>
      <c r="F3" s="404" t="s">
        <v>16</v>
      </c>
      <c r="G3" s="405" t="s">
        <v>17</v>
      </c>
      <c r="H3" s="406" t="s">
        <v>18</v>
      </c>
      <c r="I3" s="407"/>
      <c r="J3" s="408" t="s">
        <v>16</v>
      </c>
      <c r="K3" s="409" t="s">
        <v>17</v>
      </c>
      <c r="L3" s="423" t="s">
        <v>18</v>
      </c>
      <c r="M3" s="424"/>
      <c r="N3" s="425" t="s">
        <v>16</v>
      </c>
      <c r="O3" s="400" t="s">
        <v>17</v>
      </c>
      <c r="P3" s="419" t="s">
        <v>18</v>
      </c>
      <c r="Q3" s="419"/>
      <c r="R3" s="400" t="s">
        <v>16</v>
      </c>
      <c r="S3" s="400" t="s">
        <v>17</v>
      </c>
      <c r="T3" s="419" t="s">
        <v>18</v>
      </c>
      <c r="U3" s="419"/>
      <c r="V3" s="400" t="s">
        <v>16</v>
      </c>
      <c r="W3" s="400" t="s">
        <v>17</v>
      </c>
      <c r="X3" s="419" t="s">
        <v>18</v>
      </c>
      <c r="Y3" s="419"/>
      <c r="Z3" s="445" t="s">
        <v>16</v>
      </c>
      <c r="AA3" s="445" t="s">
        <v>17</v>
      </c>
      <c r="AB3" s="415" t="s">
        <v>18</v>
      </c>
      <c r="AC3" s="417"/>
      <c r="AD3" s="392" t="s">
        <v>16</v>
      </c>
      <c r="AE3" s="392" t="s">
        <v>17</v>
      </c>
      <c r="AF3" s="394" t="s">
        <v>18</v>
      </c>
      <c r="AG3" s="418"/>
      <c r="AH3" s="392" t="s">
        <v>16</v>
      </c>
      <c r="AI3" s="392" t="s">
        <v>17</v>
      </c>
      <c r="AJ3" s="394" t="s">
        <v>18</v>
      </c>
      <c r="AK3" s="418"/>
      <c r="AL3" s="400" t="s">
        <v>16</v>
      </c>
      <c r="AM3" s="400" t="s">
        <v>17</v>
      </c>
      <c r="AN3" s="419" t="s">
        <v>18</v>
      </c>
      <c r="AO3" s="419"/>
      <c r="AP3" s="447" t="s">
        <v>16</v>
      </c>
      <c r="AQ3" s="449" t="s">
        <v>17</v>
      </c>
      <c r="AR3" s="436" t="s">
        <v>18</v>
      </c>
      <c r="AS3" s="451"/>
      <c r="AT3" s="388" t="s">
        <v>16</v>
      </c>
      <c r="AU3" s="445" t="s">
        <v>17</v>
      </c>
      <c r="AV3" s="415" t="s">
        <v>18</v>
      </c>
      <c r="AW3" s="440"/>
      <c r="AX3" s="426" t="s">
        <v>16</v>
      </c>
      <c r="AY3" s="392" t="s">
        <v>17</v>
      </c>
      <c r="AZ3" s="394" t="s">
        <v>18</v>
      </c>
      <c r="BA3" s="428"/>
      <c r="BB3" s="426" t="s">
        <v>16</v>
      </c>
      <c r="BC3" s="392" t="s">
        <v>17</v>
      </c>
      <c r="BD3" s="394" t="s">
        <v>18</v>
      </c>
      <c r="BE3" s="428"/>
      <c r="BF3" s="441" t="s">
        <v>16</v>
      </c>
      <c r="BG3" s="392" t="s">
        <v>17</v>
      </c>
      <c r="BH3" s="394" t="s">
        <v>18</v>
      </c>
      <c r="BI3" s="428"/>
      <c r="BJ3" s="443" t="s">
        <v>16</v>
      </c>
      <c r="BK3" s="452" t="s">
        <v>17</v>
      </c>
      <c r="BL3" s="415" t="s">
        <v>18</v>
      </c>
      <c r="BM3" s="440"/>
      <c r="BN3" s="426" t="s">
        <v>16</v>
      </c>
      <c r="BO3" s="392" t="s">
        <v>17</v>
      </c>
      <c r="BP3" s="394" t="s">
        <v>18</v>
      </c>
      <c r="BQ3" s="395"/>
      <c r="BR3" s="390" t="s">
        <v>16</v>
      </c>
      <c r="BS3" s="390" t="s">
        <v>17</v>
      </c>
      <c r="BT3" s="391" t="s">
        <v>18</v>
      </c>
      <c r="BU3" s="391"/>
      <c r="BV3" s="396" t="s">
        <v>16</v>
      </c>
      <c r="BW3" s="390" t="s">
        <v>17</v>
      </c>
      <c r="BX3" s="391" t="s">
        <v>18</v>
      </c>
      <c r="BY3" s="391"/>
      <c r="CE3" s="392"/>
    </row>
    <row r="4" spans="1:83" s="4" customFormat="1" ht="16.5" customHeight="1">
      <c r="A4" s="430"/>
      <c r="B4" s="399"/>
      <c r="C4" s="401"/>
      <c r="D4" s="227" t="s">
        <v>19</v>
      </c>
      <c r="E4" s="231" t="s">
        <v>20</v>
      </c>
      <c r="F4" s="404"/>
      <c r="G4" s="405"/>
      <c r="H4" s="486" t="s">
        <v>19</v>
      </c>
      <c r="I4" s="487" t="s">
        <v>20</v>
      </c>
      <c r="J4" s="408"/>
      <c r="K4" s="409"/>
      <c r="L4" s="229" t="s">
        <v>19</v>
      </c>
      <c r="M4" s="230" t="s">
        <v>20</v>
      </c>
      <c r="N4" s="425"/>
      <c r="O4" s="400"/>
      <c r="P4" s="227" t="s">
        <v>19</v>
      </c>
      <c r="Q4" s="232" t="s">
        <v>20</v>
      </c>
      <c r="R4" s="400"/>
      <c r="S4" s="400"/>
      <c r="T4" s="227" t="s">
        <v>19</v>
      </c>
      <c r="U4" s="3" t="s">
        <v>20</v>
      </c>
      <c r="V4" s="400"/>
      <c r="W4" s="400"/>
      <c r="X4" s="227" t="s">
        <v>19</v>
      </c>
      <c r="Y4" s="3" t="s">
        <v>20</v>
      </c>
      <c r="Z4" s="446"/>
      <c r="AA4" s="446"/>
      <c r="AB4" s="229" t="s">
        <v>19</v>
      </c>
      <c r="AC4" s="229" t="s">
        <v>20</v>
      </c>
      <c r="AD4" s="393"/>
      <c r="AE4" s="393"/>
      <c r="AF4" s="227" t="s">
        <v>19</v>
      </c>
      <c r="AG4" s="227" t="s">
        <v>20</v>
      </c>
      <c r="AH4" s="393"/>
      <c r="AI4" s="393"/>
      <c r="AJ4" s="227" t="s">
        <v>19</v>
      </c>
      <c r="AK4" s="227" t="s">
        <v>20</v>
      </c>
      <c r="AL4" s="400"/>
      <c r="AM4" s="400"/>
      <c r="AN4" s="227" t="s">
        <v>19</v>
      </c>
      <c r="AO4" s="227" t="s">
        <v>20</v>
      </c>
      <c r="AP4" s="448"/>
      <c r="AQ4" s="450"/>
      <c r="AR4" s="387" t="s">
        <v>19</v>
      </c>
      <c r="AS4" s="233" t="s">
        <v>20</v>
      </c>
      <c r="AT4" s="389"/>
      <c r="AU4" s="446"/>
      <c r="AV4" s="229" t="s">
        <v>19</v>
      </c>
      <c r="AW4" s="230" t="s">
        <v>20</v>
      </c>
      <c r="AX4" s="427"/>
      <c r="AY4" s="393"/>
      <c r="AZ4" s="227" t="s">
        <v>19</v>
      </c>
      <c r="BA4" s="228" t="s">
        <v>20</v>
      </c>
      <c r="BB4" s="427"/>
      <c r="BC4" s="393"/>
      <c r="BD4" s="227" t="s">
        <v>19</v>
      </c>
      <c r="BE4" s="231" t="s">
        <v>20</v>
      </c>
      <c r="BF4" s="442"/>
      <c r="BG4" s="393"/>
      <c r="BH4" s="227" t="s">
        <v>19</v>
      </c>
      <c r="BI4" s="231" t="s">
        <v>20</v>
      </c>
      <c r="BJ4" s="444"/>
      <c r="BK4" s="453"/>
      <c r="BL4" s="229" t="s">
        <v>19</v>
      </c>
      <c r="BM4" s="230" t="s">
        <v>20</v>
      </c>
      <c r="BN4" s="427"/>
      <c r="BO4" s="393"/>
      <c r="BP4" s="227" t="s">
        <v>19</v>
      </c>
      <c r="BQ4" s="228" t="s">
        <v>20</v>
      </c>
      <c r="BR4" s="390"/>
      <c r="BS4" s="390"/>
      <c r="BT4" s="3" t="s">
        <v>19</v>
      </c>
      <c r="BU4" s="3" t="s">
        <v>20</v>
      </c>
      <c r="BV4" s="396"/>
      <c r="BW4" s="390"/>
      <c r="BX4" s="3" t="s">
        <v>19</v>
      </c>
      <c r="BY4" s="3" t="s">
        <v>20</v>
      </c>
      <c r="CE4" s="393"/>
    </row>
    <row r="5" spans="1:83" s="21" customFormat="1" ht="18.75">
      <c r="A5" s="5" t="s">
        <v>106</v>
      </c>
      <c r="B5" s="6">
        <f>B6+B7+B8+B12+B21+B24+B31+B33+B35+B38+B39</f>
        <v>466112.00000000006</v>
      </c>
      <c r="C5" s="7">
        <f>C6+C7+C8+C12+C21+C24+C31+C33+C35+C38+C39</f>
        <v>366918.8000000001</v>
      </c>
      <c r="D5" s="8">
        <f aca="true" t="shared" si="0" ref="D5:D39">C5-B5</f>
        <v>-99193.19999999995</v>
      </c>
      <c r="E5" s="20">
        <f aca="true" t="shared" si="1" ref="E5:E38">C5/B5%</f>
        <v>78.71902032129618</v>
      </c>
      <c r="F5" s="9">
        <f aca="true" t="shared" si="2" ref="F5:G37">J5+Z5</f>
        <v>216926.7</v>
      </c>
      <c r="G5" s="10">
        <f t="shared" si="2"/>
        <v>226100.2</v>
      </c>
      <c r="H5" s="10">
        <f aca="true" t="shared" si="3" ref="H5:H37">G5-F5</f>
        <v>9173.5</v>
      </c>
      <c r="I5" s="11">
        <f aca="true" t="shared" si="4" ref="I5:I11">G5/F5%</f>
        <v>104.22884780896034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88">
        <f aca="true" t="shared" si="5" ref="L5:L37">K5-J5</f>
        <v>566.7999999999738</v>
      </c>
      <c r="M5" s="489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120246.9</v>
      </c>
      <c r="AA5" s="12">
        <f>AA6+AA7+AA8+AA12+AA21+AA24+AA31+AA33+AA35+AA38+AA39</f>
        <v>128853.60000000002</v>
      </c>
      <c r="AB5" s="488">
        <f>AA5-Z5</f>
        <v>8606.700000000026</v>
      </c>
      <c r="AC5" s="488">
        <f>AA5/Z5%</f>
        <v>107.15752339561354</v>
      </c>
      <c r="AD5" s="13">
        <f>AD6+AD7+AD8+AD12+AD21+AD24+AD31+AD33+AD35+AD38+AD39</f>
        <v>37033.6</v>
      </c>
      <c r="AE5" s="13">
        <f>AE6+AE7+AE8+AE12+AE21+AE24+AE31+AE33+AE35+AE38+AE39</f>
        <v>45420.700000000004</v>
      </c>
      <c r="AF5" s="7">
        <f>AE5-AD5</f>
        <v>8387.100000000006</v>
      </c>
      <c r="AG5" s="7">
        <f>AE5/AD5%</f>
        <v>122.64727166681068</v>
      </c>
      <c r="AH5" s="13">
        <f>AH6+AH7+AH8+AH12+AH21+AH24+AH31+AH33+AH35+AH38+AH39</f>
        <v>32744.3</v>
      </c>
      <c r="AI5" s="13">
        <f>AI6+AI7+AI8+AI12+AI21+AI24+AI31+AI33+AI35+AI38+AI39</f>
        <v>37962.99999999999</v>
      </c>
      <c r="AJ5" s="7">
        <f aca="true" t="shared" si="12" ref="AJ5:AJ38">AI5-AH5</f>
        <v>5218.699999999993</v>
      </c>
      <c r="AK5" s="7">
        <f>AI5/AH5%</f>
        <v>115.93773572805036</v>
      </c>
      <c r="AL5" s="13">
        <f>AL6+AL7+AL8+AL12+AL21+AL24+AL31+AL33+AL35+AL38+AL39</f>
        <v>50469</v>
      </c>
      <c r="AM5" s="13">
        <f>AM6+AM7+AM8+AM12+AM21+AM24+AM31+AM33+AM35+AM38+AM39</f>
        <v>45469.9</v>
      </c>
      <c r="AN5" s="7">
        <f aca="true" t="shared" si="13" ref="AN5:AN38">AM5-AL5</f>
        <v>-4999.0999999999985</v>
      </c>
      <c r="AO5" s="7">
        <f aca="true" t="shared" si="14" ref="AO5:AO32">AM5/AL5%</f>
        <v>90.09471160514376</v>
      </c>
      <c r="AP5" s="14">
        <f>J5+Z5+AT5</f>
        <v>350381.4</v>
      </c>
      <c r="AQ5" s="14">
        <f>K5+AA5+AU5</f>
        <v>366918.80000000005</v>
      </c>
      <c r="AR5" s="15">
        <f aca="true" t="shared" si="15" ref="AR5:AR37">AQ5-AP5</f>
        <v>16537.400000000023</v>
      </c>
      <c r="AS5" s="16">
        <f aca="true" t="shared" si="16" ref="AS5:AS11">AQ5/AP5%</f>
        <v>104.71982816439457</v>
      </c>
      <c r="AT5" s="12">
        <f>AT6+AT7+AT8+AT12+AT21+AT24+AT31+AT33+AT35+AT38+AT39</f>
        <v>133454.69999999998</v>
      </c>
      <c r="AU5" s="12">
        <f>AU6+AU7+AU8+AU12+AU21+AU24+AU31+AU33+AU35+AU38+AU39</f>
        <v>140818.6</v>
      </c>
      <c r="AV5" s="488">
        <f>AU5-AT5</f>
        <v>7363.900000000023</v>
      </c>
      <c r="AW5" s="17">
        <f aca="true" t="shared" si="17" ref="AW5:AW10">AU5/AT5%</f>
        <v>105.51790232940468</v>
      </c>
      <c r="AX5" s="13">
        <f>AX6+AX7+AX8+AX12+AX21+AX24+AX31+AX33+AX35+AX38+AX39</f>
        <v>42872.90000000001</v>
      </c>
      <c r="AY5" s="13">
        <f>AY6+AY7+AY8+AY12+AY21+AY24+AY31+AY33+AY35+AY38+AY39</f>
        <v>41130.00000000001</v>
      </c>
      <c r="AZ5" s="7">
        <f>AY5-AX5</f>
        <v>-1742.9000000000015</v>
      </c>
      <c r="BA5" s="19">
        <f>AY5/AX5%</f>
        <v>95.93472799833927</v>
      </c>
      <c r="BB5" s="6">
        <f>BB6+BB7+BB8+BB12+BB21+BB24+BB31+BB33+BB35+BB38+BB39</f>
        <v>40178.799999999996</v>
      </c>
      <c r="BC5" s="6">
        <f>BC6+BC7+BC8+BC12+BC21+BC24+BC31+BC33+BC35+BC38+BC39</f>
        <v>43342.60000000001</v>
      </c>
      <c r="BD5" s="7">
        <f aca="true" t="shared" si="18" ref="BD5:BD22">BC5-BB5</f>
        <v>3163.8000000000175</v>
      </c>
      <c r="BE5" s="18">
        <f aca="true" t="shared" si="19" ref="BE5:BE11">BC5/BB5%</f>
        <v>107.87430187063829</v>
      </c>
      <c r="BF5" s="13">
        <f>BF6+BF7+BF8+BF12+BF21+BF24+BF31+BF33+BF35+BF38+BF39</f>
        <v>50403</v>
      </c>
      <c r="BG5" s="13">
        <f>BG6+BG7+BG8+BG12+BG21+BG24+BG31+BG33+BG35+BG38+BG39</f>
        <v>56345.99999999999</v>
      </c>
      <c r="BH5" s="7">
        <f aca="true" t="shared" si="20" ref="BH5:BH22">BG5-BF5</f>
        <v>5942.999999999993</v>
      </c>
      <c r="BI5" s="18">
        <f aca="true" t="shared" si="21" ref="BI5:BI11">BG5/BF5%</f>
        <v>111.7909648235224</v>
      </c>
      <c r="BJ5" s="12">
        <f>BJ6+BJ7+BJ8+BJ12+BJ21+BJ24+BJ31+BJ33+BJ35+BJ38+BJ39</f>
        <v>115730.6</v>
      </c>
      <c r="BK5" s="12">
        <f>BK6+BK7+BK8+BK12+BK21+BK24+BK31+BK33+BK35+BK38+BK39</f>
        <v>0</v>
      </c>
      <c r="BL5" s="12">
        <f>SUM(BL8,BL6,BL12,BL24,BL31,BL38,BL35)</f>
        <v>-108625.90000000002</v>
      </c>
      <c r="BM5" s="489">
        <f>BK5/BJ5%</f>
        <v>0</v>
      </c>
      <c r="BN5" s="13">
        <f>BN6+BN7+BN8+BN12+BN21+BN24+BN31+BN33+BN35+BN38+BN39</f>
        <v>37959.200000000004</v>
      </c>
      <c r="BO5" s="13">
        <f>BO6+BO7+BO8+BO12+BO21+BO24+BO31+BO33+BO35+BO38+BO39</f>
        <v>0</v>
      </c>
      <c r="BP5" s="7">
        <f aca="true" t="shared" si="22" ref="BP5:BP21">BO5-BN5</f>
        <v>-37959.200000000004</v>
      </c>
      <c r="BQ5" s="234">
        <f>BO5/BN5%</f>
        <v>0</v>
      </c>
      <c r="BR5" s="7">
        <f>BR6+BR7+BR8+BR12+BR21+BR24+BR31+BR33+BR35+BR38+BR39</f>
        <v>32807.8</v>
      </c>
      <c r="BS5" s="7">
        <f>BS6+BS7+BS8+BS12+BS21+BS24+BS31+BS33+BS35+BS38+BS39</f>
        <v>0</v>
      </c>
      <c r="BT5" s="7">
        <f aca="true" t="shared" si="23" ref="BT5:BT21">BS5-BR5</f>
        <v>-32807.8</v>
      </c>
      <c r="BU5" s="7">
        <f aca="true" t="shared" si="24" ref="BU5:BU12">BS5/BR5%</f>
        <v>0</v>
      </c>
      <c r="BV5" s="13">
        <f>BV6+BV7+BV8+BV12+BV21+BV24+BV31+BV33+BV35+BV38+BV39</f>
        <v>44963.6</v>
      </c>
      <c r="BW5" s="13">
        <f>BW6+BW7+BW8+BW12+BW21+BW24+BW31+BW33+BW35+BW38+BW39</f>
        <v>0</v>
      </c>
      <c r="BX5" s="7">
        <f aca="true" t="shared" si="25" ref="BX5:BX21">BW5-BV5</f>
        <v>-44963.6</v>
      </c>
      <c r="BY5" s="7">
        <f aca="true" t="shared" si="26" ref="BY5:BY20">BW5/BV5%</f>
        <v>0</v>
      </c>
      <c r="BZ5" s="21" t="s">
        <v>106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 aca="true" t="shared" si="27" ref="B6:C15">J6+Z6+AT6+BJ6</f>
        <v>348402.4</v>
      </c>
      <c r="C6" s="23">
        <f t="shared" si="27"/>
        <v>264461.2</v>
      </c>
      <c r="D6" s="8">
        <f t="shared" si="0"/>
        <v>-83941.20000000001</v>
      </c>
      <c r="E6" s="20">
        <f t="shared" si="1"/>
        <v>75.90682498168783</v>
      </c>
      <c r="F6" s="9">
        <f t="shared" si="2"/>
        <v>158123.3</v>
      </c>
      <c r="G6" s="10">
        <f t="shared" si="2"/>
        <v>165886</v>
      </c>
      <c r="H6" s="10">
        <f t="shared" si="3"/>
        <v>7762.700000000012</v>
      </c>
      <c r="I6" s="11">
        <f t="shared" si="4"/>
        <v>104.90927017080975</v>
      </c>
      <c r="J6" s="24">
        <f>N6+R6+V6</f>
        <v>69281.7</v>
      </c>
      <c r="K6" s="488">
        <f>SUM(O6+S6+W6)</f>
        <v>69515.9</v>
      </c>
      <c r="L6" s="488">
        <f t="shared" si="5"/>
        <v>234.1999999999971</v>
      </c>
      <c r="M6" s="489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3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88">
        <f>AD6+AH6+AL6</f>
        <v>88841.6</v>
      </c>
      <c r="AA6" s="488">
        <f aca="true" t="shared" si="28" ref="AA6:AA39">SUM(AE6+AI6+AM6)</f>
        <v>96370.1</v>
      </c>
      <c r="AB6" s="488">
        <f aca="true" t="shared" si="29" ref="AB6:AB39">AA6-Z6</f>
        <v>7528.5</v>
      </c>
      <c r="AC6" s="488">
        <f>AA6/Z6%</f>
        <v>108.47407070561539</v>
      </c>
      <c r="AD6" s="23">
        <v>25086.8</v>
      </c>
      <c r="AE6" s="23">
        <v>30391.4</v>
      </c>
      <c r="AF6" s="7">
        <f aca="true" t="shared" si="30" ref="AF6:AF38">AE6-AD6</f>
        <v>5304.600000000002</v>
      </c>
      <c r="AG6" s="7">
        <f aca="true" t="shared" si="31" ref="AG6:AG12">AE6/AD6%</f>
        <v>121.14498461342221</v>
      </c>
      <c r="AH6" s="23">
        <v>23947.3</v>
      </c>
      <c r="AI6" s="23">
        <v>29911.3</v>
      </c>
      <c r="AJ6" s="7">
        <f t="shared" si="12"/>
        <v>5964</v>
      </c>
      <c r="AK6" s="7">
        <f>AI6/AH6%</f>
        <v>124.90468654086266</v>
      </c>
      <c r="AL6" s="383">
        <f>31307.5+8500</f>
        <v>39807.5</v>
      </c>
      <c r="AM6" s="23">
        <v>36067.4</v>
      </c>
      <c r="AN6" s="7">
        <f t="shared" si="13"/>
        <v>-3740.0999999999985</v>
      </c>
      <c r="AO6" s="7">
        <f t="shared" si="14"/>
        <v>90.60453432142185</v>
      </c>
      <c r="AP6" s="14">
        <f>J6+Z6+AT6</f>
        <v>259572.8</v>
      </c>
      <c r="AQ6" s="15">
        <f aca="true" t="shared" si="32" ref="AQ6:AQ23">K6+AA6+AU6</f>
        <v>264461.2</v>
      </c>
      <c r="AR6" s="15">
        <f t="shared" si="15"/>
        <v>4888.400000000023</v>
      </c>
      <c r="AS6" s="16">
        <f t="shared" si="16"/>
        <v>101.88324816775872</v>
      </c>
      <c r="AT6" s="24">
        <f aca="true" t="shared" si="33" ref="AT6:AT17">AX6+BB6+BF6</f>
        <v>101449.5</v>
      </c>
      <c r="AU6" s="488">
        <f>SUM(AY6+BC6+BG6)</f>
        <v>98575.2</v>
      </c>
      <c r="AV6" s="488">
        <f>AU6-AT6</f>
        <v>-2874.300000000003</v>
      </c>
      <c r="AW6" s="17">
        <f t="shared" si="17"/>
        <v>97.16676770215723</v>
      </c>
      <c r="AX6" s="22">
        <v>29720.8</v>
      </c>
      <c r="AY6" s="23">
        <v>30506.9</v>
      </c>
      <c r="AZ6" s="7">
        <f>AY6-AX6</f>
        <v>786.1000000000022</v>
      </c>
      <c r="BA6" s="19">
        <f>AY6/AX6%</f>
        <v>102.64494899195178</v>
      </c>
      <c r="BB6" s="490">
        <f>26593.9+5835.7</f>
        <v>32429.600000000002</v>
      </c>
      <c r="BC6" s="23">
        <v>32499.1</v>
      </c>
      <c r="BD6" s="7">
        <f t="shared" si="18"/>
        <v>69.49999999999636</v>
      </c>
      <c r="BE6" s="18">
        <f t="shared" si="19"/>
        <v>100.21431038310678</v>
      </c>
      <c r="BF6" s="25">
        <f>27299.1+12000</f>
        <v>39299.1</v>
      </c>
      <c r="BG6" s="23">
        <v>35569.2</v>
      </c>
      <c r="BH6" s="7">
        <f t="shared" si="20"/>
        <v>-3729.9000000000015</v>
      </c>
      <c r="BI6" s="18">
        <f t="shared" si="21"/>
        <v>90.50894295289204</v>
      </c>
      <c r="BJ6" s="12">
        <f aca="true" t="shared" si="34" ref="BJ6:BJ39">BN6+BR6+BV6</f>
        <v>88829.6</v>
      </c>
      <c r="BK6" s="12">
        <f aca="true" t="shared" si="35" ref="BK6:BK39">SUM(BO6+BS6+BW6)</f>
        <v>0</v>
      </c>
      <c r="BL6" s="488">
        <f aca="true" t="shared" si="36" ref="BL6:BL35">BK6-BJ6</f>
        <v>-88829.6</v>
      </c>
      <c r="BM6" s="489">
        <f aca="true" t="shared" si="37" ref="BM6:BM11">BK6/BJ6%</f>
        <v>0</v>
      </c>
      <c r="BN6" s="22">
        <f>30490-4000</f>
        <v>26490</v>
      </c>
      <c r="BO6" s="23"/>
      <c r="BP6" s="7">
        <f t="shared" si="22"/>
        <v>-26490</v>
      </c>
      <c r="BQ6" s="19">
        <f aca="true" t="shared" si="38" ref="BQ6:BQ12">BO6/BN6%</f>
        <v>0</v>
      </c>
      <c r="BR6" s="23">
        <f>29110.2-4000</f>
        <v>25110.2</v>
      </c>
      <c r="BS6" s="23"/>
      <c r="BT6" s="7">
        <f t="shared" si="23"/>
        <v>-25110.2</v>
      </c>
      <c r="BU6" s="7">
        <f t="shared" si="24"/>
        <v>0</v>
      </c>
      <c r="BV6" s="376">
        <f>49729.4-8500-4000</f>
        <v>37229.4</v>
      </c>
      <c r="BW6" s="23"/>
      <c r="BX6" s="7">
        <f t="shared" si="25"/>
        <v>-37229.4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 t="shared" si="27"/>
        <v>31819.2</v>
      </c>
      <c r="C7" s="23">
        <f t="shared" si="27"/>
        <v>25015.4</v>
      </c>
      <c r="D7" s="8">
        <f>C7-B7</f>
        <v>-6803.799999999999</v>
      </c>
      <c r="E7" s="20">
        <f>C7/B7%</f>
        <v>78.61731281741842</v>
      </c>
      <c r="F7" s="9">
        <f>J7+Z7</f>
        <v>14867.6</v>
      </c>
      <c r="G7" s="10">
        <f>K7+AA7</f>
        <v>15523.6</v>
      </c>
      <c r="H7" s="10">
        <f>G7-F7</f>
        <v>656</v>
      </c>
      <c r="I7" s="11">
        <f>G7/F7%</f>
        <v>104.41227904974575</v>
      </c>
      <c r="J7" s="24">
        <f>N7+R7+V7</f>
        <v>7406</v>
      </c>
      <c r="K7" s="488">
        <f>O7+S7+W7</f>
        <v>7497.200000000001</v>
      </c>
      <c r="L7" s="488">
        <f>K7-J7</f>
        <v>91.20000000000073</v>
      </c>
      <c r="M7" s="489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88">
        <f>AD7+AH7+AL7</f>
        <v>7461.6</v>
      </c>
      <c r="AA7" s="488">
        <f>SUM(AE7+AI7+AM7)</f>
        <v>8026.4</v>
      </c>
      <c r="AB7" s="488">
        <f>AA7-Z7</f>
        <v>564.7999999999993</v>
      </c>
      <c r="AC7" s="488">
        <f>AA7/Z7%</f>
        <v>107.5694221078589</v>
      </c>
      <c r="AD7" s="23">
        <v>2505.3</v>
      </c>
      <c r="AE7" s="23">
        <v>2640.8</v>
      </c>
      <c r="AF7" s="7">
        <f>AE7-AD7</f>
        <v>135.5</v>
      </c>
      <c r="AG7" s="7">
        <f t="shared" si="31"/>
        <v>105.4085339081148</v>
      </c>
      <c r="AH7" s="23">
        <v>2466.2</v>
      </c>
      <c r="AI7" s="23">
        <v>2737.5</v>
      </c>
      <c r="AJ7" s="7">
        <f>AI7-AH7</f>
        <v>271.3000000000002</v>
      </c>
      <c r="AK7" s="7">
        <f>AI7/AH7%</f>
        <v>111.00072986781284</v>
      </c>
      <c r="AL7" s="23">
        <v>2490.1</v>
      </c>
      <c r="AM7" s="23">
        <v>2648.1</v>
      </c>
      <c r="AN7" s="7">
        <f>AM7-AL7</f>
        <v>158</v>
      </c>
      <c r="AO7" s="7">
        <f>AM7/AL7%</f>
        <v>106.34512670173888</v>
      </c>
      <c r="AP7" s="14">
        <f>J7+Z7+AT7</f>
        <v>24714.5</v>
      </c>
      <c r="AQ7" s="15">
        <f>K7+AA7+AU7</f>
        <v>25015.4</v>
      </c>
      <c r="AR7" s="15">
        <f>AQ7-AP7</f>
        <v>300.90000000000146</v>
      </c>
      <c r="AS7" s="16">
        <f>AQ7/AP7%</f>
        <v>101.2175038944749</v>
      </c>
      <c r="AT7" s="24">
        <f t="shared" si="33"/>
        <v>9846.9</v>
      </c>
      <c r="AU7" s="488">
        <f>SUM(AY7+BC7+BG7)</f>
        <v>9491.8</v>
      </c>
      <c r="AV7" s="488">
        <f>AU7-AT7</f>
        <v>-355.10000000000036</v>
      </c>
      <c r="AW7" s="489">
        <f>AU7/AT7%</f>
        <v>96.3937889081843</v>
      </c>
      <c r="AX7" s="22">
        <v>2749.4</v>
      </c>
      <c r="AY7" s="25">
        <v>3199</v>
      </c>
      <c r="AZ7" s="7">
        <f>AY7-AX7</f>
        <v>449.5999999999999</v>
      </c>
      <c r="BA7" s="19">
        <f>AY7/AX7%</f>
        <v>116.35265876191168</v>
      </c>
      <c r="BB7" s="490">
        <f>2974.1+185.2</f>
        <v>3159.2999999999997</v>
      </c>
      <c r="BC7" s="25">
        <v>2991.5</v>
      </c>
      <c r="BD7" s="7">
        <f>BC7-BB7</f>
        <v>-167.79999999999973</v>
      </c>
      <c r="BE7" s="18">
        <f>BC7/BB7%</f>
        <v>94.68869686322921</v>
      </c>
      <c r="BF7" s="25">
        <f>2938.2+1000</f>
        <v>3938.2</v>
      </c>
      <c r="BG7" s="23">
        <v>3301.3</v>
      </c>
      <c r="BH7" s="7">
        <f>BG7-BF7</f>
        <v>-636.8999999999996</v>
      </c>
      <c r="BI7" s="18">
        <f>BG7/BF7%</f>
        <v>83.82763699151897</v>
      </c>
      <c r="BJ7" s="26">
        <f>BN7+BR7+BV7</f>
        <v>7104.7</v>
      </c>
      <c r="BK7" s="488">
        <f>SUM(BO7+BS7+BW7)</f>
        <v>0</v>
      </c>
      <c r="BL7" s="488">
        <f>BK7-BJ7</f>
        <v>-7104.7</v>
      </c>
      <c r="BM7" s="489">
        <f>BK7/BJ7%</f>
        <v>0</v>
      </c>
      <c r="BN7" s="25">
        <f>2809.5-400</f>
        <v>2409.5</v>
      </c>
      <c r="BO7" s="23"/>
      <c r="BP7" s="7">
        <f>BO7-BN7</f>
        <v>-2409.5</v>
      </c>
      <c r="BQ7" s="19">
        <f>BO7/BN7%</f>
        <v>0</v>
      </c>
      <c r="BR7" s="23">
        <f>2752.5-300</f>
        <v>2452.5</v>
      </c>
      <c r="BS7" s="23"/>
      <c r="BT7" s="7">
        <f>BS7-BR7</f>
        <v>-2452.5</v>
      </c>
      <c r="BU7" s="7">
        <f t="shared" si="24"/>
        <v>0</v>
      </c>
      <c r="BV7" s="25">
        <f>2542.7-300</f>
        <v>2242.7</v>
      </c>
      <c r="BW7" s="23"/>
      <c r="BX7" s="7">
        <f>BW7-BV7</f>
        <v>-2242.7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7"/>
        <v>30684</v>
      </c>
      <c r="C8" s="23">
        <f t="shared" si="27"/>
        <v>19388.199999999997</v>
      </c>
      <c r="D8" s="8">
        <f t="shared" si="0"/>
        <v>-11295.800000000003</v>
      </c>
      <c r="E8" s="20">
        <f t="shared" si="1"/>
        <v>63.186677095554685</v>
      </c>
      <c r="F8" s="9">
        <f t="shared" si="2"/>
        <v>16411.800000000003</v>
      </c>
      <c r="G8" s="10">
        <f t="shared" si="2"/>
        <v>15491.099999999999</v>
      </c>
      <c r="H8" s="10">
        <f t="shared" si="3"/>
        <v>-920.7000000000044</v>
      </c>
      <c r="I8" s="11">
        <f t="shared" si="4"/>
        <v>94.39001206449016</v>
      </c>
      <c r="J8" s="27">
        <f>SUM(J9:J11)</f>
        <v>9456.1</v>
      </c>
      <c r="K8" s="488">
        <f>SUM(K9:K11)</f>
        <v>6367.799999999999</v>
      </c>
      <c r="L8" s="488">
        <f t="shared" si="5"/>
        <v>-3088.300000000001</v>
      </c>
      <c r="M8" s="489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39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88">
        <f aca="true" t="shared" si="40" ref="Z8:Z39">AD8+AH8+AL8</f>
        <v>6955.700000000001</v>
      </c>
      <c r="AA8" s="488">
        <f t="shared" si="28"/>
        <v>9123.3</v>
      </c>
      <c r="AB8" s="488">
        <f t="shared" si="29"/>
        <v>2167.5999999999985</v>
      </c>
      <c r="AC8" s="488">
        <f>AA8/Z8%</f>
        <v>131.16293112123867</v>
      </c>
      <c r="AD8" s="23">
        <f aca="true" t="shared" si="41" ref="AD8:AM8">SUM(AD9:AD11)</f>
        <v>5179.3</v>
      </c>
      <c r="AE8" s="23">
        <f t="shared" si="41"/>
        <v>6860.5</v>
      </c>
      <c r="AF8" s="23">
        <f t="shared" si="41"/>
        <v>1681.1999999999994</v>
      </c>
      <c r="AG8" s="7">
        <f t="shared" si="31"/>
        <v>132.45998494004982</v>
      </c>
      <c r="AH8" s="23">
        <f t="shared" si="41"/>
        <v>690</v>
      </c>
      <c r="AI8" s="23">
        <f t="shared" si="41"/>
        <v>893.4</v>
      </c>
      <c r="AJ8" s="23">
        <f t="shared" si="41"/>
        <v>203.4</v>
      </c>
      <c r="AK8" s="7">
        <f aca="true" t="shared" si="42" ref="AK8:AK38">AI8/AH8%</f>
        <v>129.47826086956522</v>
      </c>
      <c r="AL8" s="23">
        <f t="shared" si="41"/>
        <v>1086.4</v>
      </c>
      <c r="AM8" s="23">
        <f t="shared" si="41"/>
        <v>1369.4</v>
      </c>
      <c r="AN8" s="7">
        <f t="shared" si="13"/>
        <v>283</v>
      </c>
      <c r="AO8" s="7">
        <f t="shared" si="14"/>
        <v>126.04933726067746</v>
      </c>
      <c r="AP8" s="14">
        <f>J8+Z8+AT8</f>
        <v>23148.800000000003</v>
      </c>
      <c r="AQ8" s="15">
        <f t="shared" si="32"/>
        <v>19388.199999999997</v>
      </c>
      <c r="AR8" s="15">
        <f t="shared" si="15"/>
        <v>-3760.600000000006</v>
      </c>
      <c r="AS8" s="16">
        <f t="shared" si="16"/>
        <v>83.75466546862039</v>
      </c>
      <c r="AT8" s="24">
        <f t="shared" si="33"/>
        <v>6737.000000000001</v>
      </c>
      <c r="AU8" s="24">
        <f>AY8+BC8+BG8</f>
        <v>3897.1000000000004</v>
      </c>
      <c r="AV8" s="488">
        <f aca="true" t="shared" si="43" ref="AV8:AV39">AU8-AT8</f>
        <v>-2839.9000000000005</v>
      </c>
      <c r="AW8" s="17">
        <f t="shared" si="17"/>
        <v>57.84622235416357</v>
      </c>
      <c r="AX8" s="22">
        <f>AX9+AX10+AX11</f>
        <v>5542.000000000001</v>
      </c>
      <c r="AY8" s="25">
        <f>SUM(AY9:AY11)</f>
        <v>3028.9</v>
      </c>
      <c r="AZ8" s="25">
        <f>SUM(AZ9:AZ11)</f>
        <v>-2513.1000000000004</v>
      </c>
      <c r="BA8" s="19">
        <f aca="true" t="shared" si="44" ref="BA8:BA28">AY8/AX8%</f>
        <v>54.65355467340309</v>
      </c>
      <c r="BB8" s="22">
        <f>SUM(BB9:BB11)</f>
        <v>870.2</v>
      </c>
      <c r="BC8" s="25">
        <f>SUM(BC9:BC11)</f>
        <v>414.4</v>
      </c>
      <c r="BD8" s="25">
        <f>SUM(BD9:BD11)</f>
        <v>-455.79999999999995</v>
      </c>
      <c r="BE8" s="18">
        <f t="shared" si="19"/>
        <v>47.621236497356925</v>
      </c>
      <c r="BF8" s="25">
        <f>SUM(BF9:BF11)</f>
        <v>324.8</v>
      </c>
      <c r="BG8" s="25">
        <f>SUM(BG9:BG11)</f>
        <v>453.8</v>
      </c>
      <c r="BH8" s="7">
        <f t="shared" si="20"/>
        <v>129</v>
      </c>
      <c r="BI8" s="18">
        <f t="shared" si="21"/>
        <v>139.7167487684729</v>
      </c>
      <c r="BJ8" s="26">
        <f t="shared" si="34"/>
        <v>7535.199999999999</v>
      </c>
      <c r="BK8" s="488">
        <f t="shared" si="35"/>
        <v>0</v>
      </c>
      <c r="BL8" s="488">
        <f t="shared" si="36"/>
        <v>-7535.199999999999</v>
      </c>
      <c r="BM8" s="489">
        <f t="shared" si="37"/>
        <v>0</v>
      </c>
      <c r="BN8" s="25">
        <f>SUM(BN9:BN11)</f>
        <v>5093.099999999999</v>
      </c>
      <c r="BO8" s="25">
        <f>SUM(BO9:BO11)</f>
        <v>0</v>
      </c>
      <c r="BP8" s="7">
        <f t="shared" si="22"/>
        <v>-5093.099999999999</v>
      </c>
      <c r="BQ8" s="44">
        <f t="shared" si="38"/>
        <v>0</v>
      </c>
      <c r="BR8" s="23">
        <f>SUM(BR9:BR11)</f>
        <v>1275.6999999999998</v>
      </c>
      <c r="BS8" s="23">
        <f>SUM(BS9:BS11)</f>
        <v>0</v>
      </c>
      <c r="BT8" s="7">
        <f t="shared" si="23"/>
        <v>-1275.6999999999998</v>
      </c>
      <c r="BU8" s="7">
        <f t="shared" si="24"/>
        <v>0</v>
      </c>
      <c r="BV8" s="25">
        <f>SUM(BV9:BV11)</f>
        <v>1166.4</v>
      </c>
      <c r="BW8" s="23">
        <f>SUM(BW9:BW11)</f>
        <v>0</v>
      </c>
      <c r="BX8" s="7">
        <f t="shared" si="25"/>
        <v>-1166.4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7"/>
        <v>24501.5</v>
      </c>
      <c r="C9" s="31">
        <f t="shared" si="27"/>
        <v>14400.399999999998</v>
      </c>
      <c r="D9" s="33">
        <f t="shared" si="0"/>
        <v>-10101.100000000002</v>
      </c>
      <c r="E9" s="220">
        <f t="shared" si="1"/>
        <v>58.77354447686876</v>
      </c>
      <c r="F9" s="34">
        <f t="shared" si="2"/>
        <v>12105.1</v>
      </c>
      <c r="G9" s="35">
        <f t="shared" si="2"/>
        <v>10962.099999999999</v>
      </c>
      <c r="H9" s="35">
        <f t="shared" si="3"/>
        <v>-1143.0000000000018</v>
      </c>
      <c r="I9" s="36">
        <f t="shared" si="4"/>
        <v>90.55769882115801</v>
      </c>
      <c r="J9" s="37">
        <f aca="true" t="shared" si="45" ref="J9:J39">N9+R9+V9</f>
        <v>6051</v>
      </c>
      <c r="K9" s="38">
        <f aca="true" t="shared" si="46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39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0"/>
        <v>6054.1</v>
      </c>
      <c r="AA9" s="38">
        <f t="shared" si="28"/>
        <v>5786</v>
      </c>
      <c r="AB9" s="38">
        <f t="shared" si="29"/>
        <v>-268.10000000000036</v>
      </c>
      <c r="AC9" s="38">
        <f>AA9/Z9%</f>
        <v>95.57159610842238</v>
      </c>
      <c r="AD9" s="31">
        <v>4695</v>
      </c>
      <c r="AE9" s="31">
        <v>4744.9</v>
      </c>
      <c r="AF9" s="32">
        <f t="shared" si="30"/>
        <v>49.899999999999636</v>
      </c>
      <c r="AG9" s="32">
        <f t="shared" si="31"/>
        <v>101.06283280085195</v>
      </c>
      <c r="AH9" s="31">
        <v>505.8</v>
      </c>
      <c r="AI9" s="31">
        <v>561</v>
      </c>
      <c r="AJ9" s="32">
        <f t="shared" si="12"/>
        <v>55.19999999999999</v>
      </c>
      <c r="AK9" s="32">
        <f t="shared" si="42"/>
        <v>110.91340450771057</v>
      </c>
      <c r="AL9" s="31">
        <v>853.3</v>
      </c>
      <c r="AM9" s="31">
        <v>480.1</v>
      </c>
      <c r="AN9" s="32">
        <f t="shared" si="13"/>
        <v>-373.19999999999993</v>
      </c>
      <c r="AO9" s="32">
        <f t="shared" si="14"/>
        <v>56.2639165592406</v>
      </c>
      <c r="AP9" s="40">
        <f aca="true" t="shared" si="47" ref="AP9:AQ32">J9+Z9+AT9</f>
        <v>18138.4</v>
      </c>
      <c r="AQ9" s="41">
        <f t="shared" si="32"/>
        <v>14400.399999999998</v>
      </c>
      <c r="AR9" s="41">
        <f t="shared" si="15"/>
        <v>-3738.0000000000036</v>
      </c>
      <c r="AS9" s="42">
        <f t="shared" si="16"/>
        <v>79.39178758876194</v>
      </c>
      <c r="AT9" s="37">
        <f t="shared" si="33"/>
        <v>6033.3</v>
      </c>
      <c r="AU9" s="38">
        <f aca="true" t="shared" si="48" ref="AU9:AU20">SUM(AY9+BC9+BG9)</f>
        <v>3438.3</v>
      </c>
      <c r="AV9" s="38">
        <f t="shared" si="43"/>
        <v>-2595</v>
      </c>
      <c r="AW9" s="43">
        <f t="shared" si="17"/>
        <v>56.98871264482125</v>
      </c>
      <c r="AX9" s="30">
        <v>5033.6</v>
      </c>
      <c r="AY9" s="31">
        <v>2743.3</v>
      </c>
      <c r="AZ9" s="32">
        <f aca="true" t="shared" si="49" ref="AZ9:AZ38">AY9-AX9</f>
        <v>-2290.3</v>
      </c>
      <c r="BA9" s="44">
        <f t="shared" si="44"/>
        <v>54.499761602034326</v>
      </c>
      <c r="BB9" s="30">
        <v>701.4</v>
      </c>
      <c r="BC9" s="31">
        <v>279.2</v>
      </c>
      <c r="BD9" s="32">
        <f t="shared" si="18"/>
        <v>-422.2</v>
      </c>
      <c r="BE9" s="28">
        <f t="shared" si="19"/>
        <v>39.80610208155119</v>
      </c>
      <c r="BF9" s="39">
        <v>298.3</v>
      </c>
      <c r="BG9" s="31">
        <v>415.8</v>
      </c>
      <c r="BH9" s="32">
        <f t="shared" si="20"/>
        <v>117.5</v>
      </c>
      <c r="BI9" s="28">
        <f t="shared" si="21"/>
        <v>139.38987596379485</v>
      </c>
      <c r="BJ9" s="45">
        <f t="shared" si="34"/>
        <v>6363.099999999999</v>
      </c>
      <c r="BK9" s="38">
        <f t="shared" si="35"/>
        <v>0</v>
      </c>
      <c r="BL9" s="38">
        <f t="shared" si="36"/>
        <v>-6363.099999999999</v>
      </c>
      <c r="BM9" s="43">
        <f t="shared" si="37"/>
        <v>0</v>
      </c>
      <c r="BN9" s="30">
        <v>5058</v>
      </c>
      <c r="BO9" s="31"/>
      <c r="BP9" s="7">
        <f t="shared" si="22"/>
        <v>-5058</v>
      </c>
      <c r="BQ9" s="44">
        <f t="shared" si="38"/>
        <v>0</v>
      </c>
      <c r="BR9" s="31">
        <v>720.4</v>
      </c>
      <c r="BS9" s="31"/>
      <c r="BT9" s="32">
        <f t="shared" si="23"/>
        <v>-720.4</v>
      </c>
      <c r="BU9" s="32">
        <f t="shared" si="24"/>
        <v>0</v>
      </c>
      <c r="BV9" s="39">
        <v>584.7</v>
      </c>
      <c r="BW9" s="31"/>
      <c r="BX9" s="32">
        <f t="shared" si="25"/>
        <v>-584.7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27"/>
        <v>4182.5</v>
      </c>
      <c r="C10" s="31">
        <f t="shared" si="27"/>
        <v>4255.9</v>
      </c>
      <c r="D10" s="33">
        <f t="shared" si="0"/>
        <v>73.39999999999964</v>
      </c>
      <c r="E10" s="220">
        <f t="shared" si="1"/>
        <v>101.7549312612074</v>
      </c>
      <c r="F10" s="34">
        <f t="shared" si="2"/>
        <v>3482.8</v>
      </c>
      <c r="G10" s="35">
        <f t="shared" si="2"/>
        <v>3894.7</v>
      </c>
      <c r="H10" s="35">
        <f t="shared" si="3"/>
        <v>411.89999999999964</v>
      </c>
      <c r="I10" s="36">
        <f t="shared" si="4"/>
        <v>111.82669116802572</v>
      </c>
      <c r="J10" s="37">
        <f t="shared" si="45"/>
        <v>2728</v>
      </c>
      <c r="K10" s="38">
        <f t="shared" si="46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39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0"/>
        <v>754.8</v>
      </c>
      <c r="AA10" s="38">
        <f t="shared" si="28"/>
        <v>3027.3999999999996</v>
      </c>
      <c r="AB10" s="38">
        <f t="shared" si="29"/>
        <v>2272.5999999999995</v>
      </c>
      <c r="AC10" s="38" t="s">
        <v>107</v>
      </c>
      <c r="AD10" s="31">
        <v>450.1</v>
      </c>
      <c r="AE10" s="31">
        <v>1903.8</v>
      </c>
      <c r="AF10" s="32">
        <f t="shared" si="30"/>
        <v>1453.6999999999998</v>
      </c>
      <c r="AG10" s="32" t="s">
        <v>27</v>
      </c>
      <c r="AH10" s="31">
        <v>116.5</v>
      </c>
      <c r="AI10" s="31">
        <v>296.3</v>
      </c>
      <c r="AJ10" s="32">
        <f t="shared" si="12"/>
        <v>179.8</v>
      </c>
      <c r="AK10" s="32" t="s">
        <v>27</v>
      </c>
      <c r="AL10" s="31">
        <v>188.2</v>
      </c>
      <c r="AM10" s="31">
        <v>827.3</v>
      </c>
      <c r="AN10" s="32">
        <f t="shared" si="13"/>
        <v>639.0999999999999</v>
      </c>
      <c r="AO10" s="32">
        <f t="shared" si="14"/>
        <v>439.5855472901169</v>
      </c>
      <c r="AP10" s="40">
        <f t="shared" si="47"/>
        <v>4123</v>
      </c>
      <c r="AQ10" s="41">
        <f t="shared" si="32"/>
        <v>4255.9</v>
      </c>
      <c r="AR10" s="41">
        <f t="shared" si="15"/>
        <v>132.89999999999964</v>
      </c>
      <c r="AS10" s="42">
        <f t="shared" si="16"/>
        <v>103.22338103322824</v>
      </c>
      <c r="AT10" s="37">
        <f t="shared" si="33"/>
        <v>640.2</v>
      </c>
      <c r="AU10" s="38">
        <f t="shared" si="48"/>
        <v>361.20000000000005</v>
      </c>
      <c r="AV10" s="38">
        <f t="shared" si="43"/>
        <v>-279</v>
      </c>
      <c r="AW10" s="43">
        <f t="shared" si="17"/>
        <v>56.41986879100282</v>
      </c>
      <c r="AX10" s="30">
        <v>476.6</v>
      </c>
      <c r="AY10" s="31">
        <v>260.6</v>
      </c>
      <c r="AZ10" s="32">
        <f t="shared" si="49"/>
        <v>-216</v>
      </c>
      <c r="BA10" s="44">
        <f t="shared" si="44"/>
        <v>54.67897608057071</v>
      </c>
      <c r="BB10" s="30">
        <v>163.6</v>
      </c>
      <c r="BC10" s="31">
        <v>108</v>
      </c>
      <c r="BD10" s="32">
        <f t="shared" si="18"/>
        <v>-55.599999999999994</v>
      </c>
      <c r="BE10" s="28">
        <f t="shared" si="19"/>
        <v>66.01466992665037</v>
      </c>
      <c r="BF10" s="39">
        <v>0</v>
      </c>
      <c r="BG10" s="31">
        <v>-7.4</v>
      </c>
      <c r="BH10" s="32">
        <f t="shared" si="20"/>
        <v>-7.4</v>
      </c>
      <c r="BI10" s="28"/>
      <c r="BJ10" s="45">
        <f t="shared" si="34"/>
        <v>59.5</v>
      </c>
      <c r="BK10" s="38">
        <f t="shared" si="35"/>
        <v>0</v>
      </c>
      <c r="BL10" s="38">
        <f t="shared" si="36"/>
        <v>-59.5</v>
      </c>
      <c r="BM10" s="43" t="s">
        <v>27</v>
      </c>
      <c r="BN10" s="30">
        <v>0.9</v>
      </c>
      <c r="BO10" s="31"/>
      <c r="BP10" s="7">
        <f t="shared" si="22"/>
        <v>-0.9</v>
      </c>
      <c r="BQ10" s="44" t="s">
        <v>27</v>
      </c>
      <c r="BR10" s="31">
        <v>0</v>
      </c>
      <c r="BS10" s="31"/>
      <c r="BT10" s="7">
        <f t="shared" si="23"/>
        <v>0</v>
      </c>
      <c r="BU10" s="32" t="s">
        <v>27</v>
      </c>
      <c r="BV10" s="39">
        <v>58.6</v>
      </c>
      <c r="BW10" s="31"/>
      <c r="BX10" s="32">
        <f t="shared" si="25"/>
        <v>-58.6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27"/>
        <v>2000</v>
      </c>
      <c r="C11" s="31">
        <f t="shared" si="27"/>
        <v>731.9</v>
      </c>
      <c r="D11" s="33">
        <f t="shared" si="0"/>
        <v>-1268.1</v>
      </c>
      <c r="E11" s="220">
        <f t="shared" si="1"/>
        <v>36.595</v>
      </c>
      <c r="F11" s="34">
        <f t="shared" si="2"/>
        <v>823.9000000000001</v>
      </c>
      <c r="G11" s="35">
        <f t="shared" si="2"/>
        <v>634.3</v>
      </c>
      <c r="H11" s="35">
        <f t="shared" si="3"/>
        <v>-189.60000000000014</v>
      </c>
      <c r="I11" s="36">
        <f t="shared" si="4"/>
        <v>76.98749848282557</v>
      </c>
      <c r="J11" s="37">
        <f t="shared" si="45"/>
        <v>677.1</v>
      </c>
      <c r="K11" s="38">
        <f t="shared" si="46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39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0"/>
        <v>146.8</v>
      </c>
      <c r="AA11" s="38">
        <f t="shared" si="28"/>
        <v>309.9</v>
      </c>
      <c r="AB11" s="38">
        <f t="shared" si="29"/>
        <v>163.09999999999997</v>
      </c>
      <c r="AC11" s="38">
        <f>AA11/Z11%</f>
        <v>211.1035422343324</v>
      </c>
      <c r="AD11" s="31">
        <v>34.2</v>
      </c>
      <c r="AE11" s="31">
        <v>211.8</v>
      </c>
      <c r="AF11" s="32">
        <f t="shared" si="30"/>
        <v>177.60000000000002</v>
      </c>
      <c r="AG11" s="32" t="s">
        <v>27</v>
      </c>
      <c r="AH11" s="31">
        <v>67.7</v>
      </c>
      <c r="AI11" s="31">
        <v>36.1</v>
      </c>
      <c r="AJ11" s="32">
        <f t="shared" si="12"/>
        <v>-31.6</v>
      </c>
      <c r="AK11" s="32">
        <f t="shared" si="42"/>
        <v>53.32348596750369</v>
      </c>
      <c r="AL11" s="31">
        <v>44.9</v>
      </c>
      <c r="AM11" s="31">
        <v>62</v>
      </c>
      <c r="AN11" s="32">
        <f t="shared" si="13"/>
        <v>17.1</v>
      </c>
      <c r="AO11" s="32">
        <f t="shared" si="14"/>
        <v>138.08463251670378</v>
      </c>
      <c r="AP11" s="40">
        <f t="shared" si="47"/>
        <v>887.4000000000001</v>
      </c>
      <c r="AQ11" s="41">
        <f t="shared" si="32"/>
        <v>731.9</v>
      </c>
      <c r="AR11" s="41">
        <f t="shared" si="15"/>
        <v>-155.5000000000001</v>
      </c>
      <c r="AS11" s="42">
        <f t="shared" si="16"/>
        <v>82.4768988054992</v>
      </c>
      <c r="AT11" s="37">
        <f t="shared" si="33"/>
        <v>63.5</v>
      </c>
      <c r="AU11" s="38">
        <f t="shared" si="48"/>
        <v>97.6</v>
      </c>
      <c r="AV11" s="38">
        <f>AU11-AT11</f>
        <v>34.099999999999994</v>
      </c>
      <c r="AW11" s="43">
        <f>AU11/AT11%</f>
        <v>153.7007874015748</v>
      </c>
      <c r="AX11" s="30">
        <v>31.8</v>
      </c>
      <c r="AY11" s="31">
        <v>25</v>
      </c>
      <c r="AZ11" s="32">
        <f t="shared" si="49"/>
        <v>-6.800000000000001</v>
      </c>
      <c r="BA11" s="44">
        <f t="shared" si="44"/>
        <v>78.61635220125785</v>
      </c>
      <c r="BB11" s="30">
        <v>5.2</v>
      </c>
      <c r="BC11" s="31">
        <v>27.2</v>
      </c>
      <c r="BD11" s="32">
        <f t="shared" si="18"/>
        <v>22</v>
      </c>
      <c r="BE11" s="28">
        <f t="shared" si="19"/>
        <v>523.076923076923</v>
      </c>
      <c r="BF11" s="39">
        <v>26.5</v>
      </c>
      <c r="BG11" s="31">
        <v>45.4</v>
      </c>
      <c r="BH11" s="32">
        <f t="shared" si="20"/>
        <v>18.9</v>
      </c>
      <c r="BI11" s="28">
        <f t="shared" si="21"/>
        <v>171.32075471698113</v>
      </c>
      <c r="BJ11" s="45">
        <f t="shared" si="34"/>
        <v>1112.6</v>
      </c>
      <c r="BK11" s="38">
        <f t="shared" si="35"/>
        <v>0</v>
      </c>
      <c r="BL11" s="38">
        <f t="shared" si="36"/>
        <v>-1112.6</v>
      </c>
      <c r="BM11" s="43">
        <f t="shared" si="37"/>
        <v>0</v>
      </c>
      <c r="BN11" s="30">
        <v>34.2</v>
      </c>
      <c r="BO11" s="31"/>
      <c r="BP11" s="7">
        <f t="shared" si="22"/>
        <v>-34.2</v>
      </c>
      <c r="BQ11" s="44">
        <f t="shared" si="38"/>
        <v>0</v>
      </c>
      <c r="BR11" s="31">
        <v>555.3</v>
      </c>
      <c r="BS11" s="31"/>
      <c r="BT11" s="32">
        <f t="shared" si="23"/>
        <v>-555.3</v>
      </c>
      <c r="BU11" s="32">
        <f t="shared" si="24"/>
        <v>0</v>
      </c>
      <c r="BV11" s="39">
        <v>523.1</v>
      </c>
      <c r="BW11" s="31"/>
      <c r="BX11" s="32">
        <f t="shared" si="25"/>
        <v>-523.1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 t="shared" si="27"/>
        <v>14378.999999999998</v>
      </c>
      <c r="C12" s="23">
        <f t="shared" si="27"/>
        <v>11957.2</v>
      </c>
      <c r="D12" s="8">
        <f t="shared" si="0"/>
        <v>-2421.7999999999975</v>
      </c>
      <c r="E12" s="20">
        <f t="shared" si="1"/>
        <v>83.15738229362266</v>
      </c>
      <c r="F12" s="9">
        <f t="shared" si="2"/>
        <v>7330.799999999999</v>
      </c>
      <c r="G12" s="10">
        <f t="shared" si="2"/>
        <v>7960.3</v>
      </c>
      <c r="H12" s="10">
        <f t="shared" si="3"/>
        <v>629.5000000000009</v>
      </c>
      <c r="I12" s="11">
        <f>G12/F12%</f>
        <v>108.58705734708356</v>
      </c>
      <c r="J12" s="24">
        <f t="shared" si="45"/>
        <v>2706.1</v>
      </c>
      <c r="K12" s="488">
        <f t="shared" si="46"/>
        <v>3694.7</v>
      </c>
      <c r="L12" s="488">
        <f t="shared" si="5"/>
        <v>988.5999999999999</v>
      </c>
      <c r="M12" s="489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39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88">
        <f t="shared" si="40"/>
        <v>4624.7</v>
      </c>
      <c r="AA12" s="488">
        <f t="shared" si="28"/>
        <v>4265.6</v>
      </c>
      <c r="AB12" s="488">
        <f t="shared" si="29"/>
        <v>-359.09999999999945</v>
      </c>
      <c r="AC12" s="488">
        <f>AA12/Z12%</f>
        <v>92.23517201115749</v>
      </c>
      <c r="AD12" s="25">
        <f>AD13+AD20+AD14</f>
        <v>1013.5</v>
      </c>
      <c r="AE12" s="25">
        <f>AE13+AE20+AE14</f>
        <v>1286.2</v>
      </c>
      <c r="AF12" s="7">
        <f t="shared" si="30"/>
        <v>272.70000000000005</v>
      </c>
      <c r="AG12" s="7">
        <f t="shared" si="31"/>
        <v>126.90675875678343</v>
      </c>
      <c r="AH12" s="25">
        <f>AH13+AH20+AH14</f>
        <v>999</v>
      </c>
      <c r="AI12" s="25">
        <f>AI13+AI20+AI14</f>
        <v>1606.7</v>
      </c>
      <c r="AJ12" s="7">
        <f t="shared" si="12"/>
        <v>607.7</v>
      </c>
      <c r="AK12" s="7">
        <f t="shared" si="42"/>
        <v>160.83083083083082</v>
      </c>
      <c r="AL12" s="25">
        <f>AL13+AL20+AL14</f>
        <v>2612.2</v>
      </c>
      <c r="AM12" s="25">
        <f>AM13+AM20+AM14</f>
        <v>1372.7</v>
      </c>
      <c r="AN12" s="7">
        <f t="shared" si="13"/>
        <v>-1239.4999999999998</v>
      </c>
      <c r="AO12" s="7">
        <f t="shared" si="14"/>
        <v>52.54957507082153</v>
      </c>
      <c r="AP12" s="14">
        <f t="shared" si="47"/>
        <v>11734.199999999999</v>
      </c>
      <c r="AQ12" s="15">
        <f t="shared" si="32"/>
        <v>11957.2</v>
      </c>
      <c r="AR12" s="15">
        <f t="shared" si="15"/>
        <v>223.00000000000182</v>
      </c>
      <c r="AS12" s="16">
        <f>AQ12/AP12%</f>
        <v>101.90042780930956</v>
      </c>
      <c r="AT12" s="24">
        <f t="shared" si="33"/>
        <v>4403.4</v>
      </c>
      <c r="AU12" s="488">
        <f t="shared" si="48"/>
        <v>3996.8999999999996</v>
      </c>
      <c r="AV12" s="488">
        <f t="shared" si="43"/>
        <v>-406.5</v>
      </c>
      <c r="AW12" s="17">
        <f>AU12/AT12%</f>
        <v>90.76849707044556</v>
      </c>
      <c r="AX12" s="25">
        <f>AX13+AX20+AX14</f>
        <v>1261.9</v>
      </c>
      <c r="AY12" s="25">
        <f>AY13+AY20+AY14</f>
        <v>1335.4</v>
      </c>
      <c r="AZ12" s="7">
        <f t="shared" si="49"/>
        <v>73.5</v>
      </c>
      <c r="BA12" s="19">
        <f>AY12/AX12%</f>
        <v>105.8245502813218</v>
      </c>
      <c r="BB12" s="22">
        <f>BB13+BB20+BB14</f>
        <v>1222.6</v>
      </c>
      <c r="BC12" s="25">
        <f>BC13+BC20+BC14</f>
        <v>1373.8</v>
      </c>
      <c r="BD12" s="7">
        <f t="shared" si="18"/>
        <v>151.20000000000005</v>
      </c>
      <c r="BE12" s="18">
        <f>BC12/BB12%</f>
        <v>112.3670865368886</v>
      </c>
      <c r="BF12" s="25">
        <f>BF13+BF20+BF14</f>
        <v>1918.9</v>
      </c>
      <c r="BG12" s="25">
        <f>BG13+BG20+BG14</f>
        <v>1287.6999999999998</v>
      </c>
      <c r="BH12" s="7">
        <f t="shared" si="20"/>
        <v>-631.2000000000003</v>
      </c>
      <c r="BI12" s="7">
        <f>BG12/BF12%</f>
        <v>67.10615456772108</v>
      </c>
      <c r="BJ12" s="26">
        <f t="shared" si="34"/>
        <v>2644.7999999999997</v>
      </c>
      <c r="BK12" s="488">
        <f t="shared" si="35"/>
        <v>0</v>
      </c>
      <c r="BL12" s="488">
        <f t="shared" si="36"/>
        <v>-2644.7999999999997</v>
      </c>
      <c r="BM12" s="489">
        <f>BK12/BJ12%</f>
        <v>0</v>
      </c>
      <c r="BN12" s="25">
        <f>BN13+BN20+BN14</f>
        <v>1306.3</v>
      </c>
      <c r="BO12" s="25">
        <f>BO13+BO20+BO14</f>
        <v>0</v>
      </c>
      <c r="BP12" s="7">
        <f t="shared" si="22"/>
        <v>-1306.3</v>
      </c>
      <c r="BQ12" s="19">
        <f t="shared" si="38"/>
        <v>0</v>
      </c>
      <c r="BR12" s="23">
        <f>BR13+BR20+BR14</f>
        <v>1170.9</v>
      </c>
      <c r="BS12" s="23">
        <f>BS13+BS20+BS14</f>
        <v>0</v>
      </c>
      <c r="BT12" s="7">
        <f t="shared" si="23"/>
        <v>-1170.9</v>
      </c>
      <c r="BU12" s="7">
        <f t="shared" si="24"/>
        <v>0</v>
      </c>
      <c r="BV12" s="25">
        <f>BV13+BV20+BV14</f>
        <v>167.60000000000002</v>
      </c>
      <c r="BW12" s="25">
        <f>BW13+BW20+BW14</f>
        <v>0</v>
      </c>
      <c r="BX12" s="7">
        <f t="shared" si="25"/>
        <v>-167.60000000000002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108</v>
      </c>
      <c r="B13" s="30">
        <f t="shared" si="27"/>
        <v>7729.3</v>
      </c>
      <c r="C13" s="31">
        <f t="shared" si="27"/>
        <v>6618.000000000001</v>
      </c>
      <c r="D13" s="33">
        <f t="shared" si="0"/>
        <v>-1111.2999999999993</v>
      </c>
      <c r="E13" s="220">
        <f t="shared" si="1"/>
        <v>85.62224263516748</v>
      </c>
      <c r="F13" s="34">
        <f t="shared" si="2"/>
        <v>4166.4</v>
      </c>
      <c r="G13" s="35">
        <f t="shared" si="2"/>
        <v>4363.700000000001</v>
      </c>
      <c r="H13" s="35">
        <f t="shared" si="3"/>
        <v>197.3000000000011</v>
      </c>
      <c r="I13" s="36">
        <f>G13/F13%</f>
        <v>104.73550307219665</v>
      </c>
      <c r="J13" s="37">
        <f t="shared" si="45"/>
        <v>1489.8</v>
      </c>
      <c r="K13" s="38">
        <f t="shared" si="46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39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0"/>
        <v>2676.6</v>
      </c>
      <c r="AA13" s="38">
        <f t="shared" si="28"/>
        <v>2435</v>
      </c>
      <c r="AB13" s="38">
        <f t="shared" si="29"/>
        <v>-241.5999999999999</v>
      </c>
      <c r="AC13" s="38">
        <f>AA13/Z13%</f>
        <v>90.97362325338116</v>
      </c>
      <c r="AD13" s="31">
        <v>543.5</v>
      </c>
      <c r="AE13" s="31">
        <v>752.6</v>
      </c>
      <c r="AF13" s="32">
        <f t="shared" si="30"/>
        <v>209.10000000000002</v>
      </c>
      <c r="AG13" s="32">
        <f>AE13/AD13%</f>
        <v>138.4728610855566</v>
      </c>
      <c r="AH13" s="31">
        <v>473.4</v>
      </c>
      <c r="AI13" s="31">
        <v>857</v>
      </c>
      <c r="AJ13" s="32">
        <f t="shared" si="12"/>
        <v>383.6</v>
      </c>
      <c r="AK13" s="32">
        <f t="shared" si="42"/>
        <v>181.03084072665823</v>
      </c>
      <c r="AL13" s="377">
        <f>659.7+1000</f>
        <v>1659.7</v>
      </c>
      <c r="AM13" s="31">
        <v>825.4</v>
      </c>
      <c r="AN13" s="32">
        <f t="shared" si="13"/>
        <v>-834.3000000000001</v>
      </c>
      <c r="AO13" s="32">
        <f t="shared" si="14"/>
        <v>49.7318792552871</v>
      </c>
      <c r="AP13" s="40">
        <f t="shared" si="47"/>
        <v>6192.5</v>
      </c>
      <c r="AQ13" s="41">
        <f t="shared" si="32"/>
        <v>6618.000000000001</v>
      </c>
      <c r="AR13" s="41">
        <f t="shared" si="15"/>
        <v>425.5000000000009</v>
      </c>
      <c r="AS13" s="42">
        <f>AQ13/AP13%</f>
        <v>106.87121517965282</v>
      </c>
      <c r="AT13" s="37">
        <f t="shared" si="33"/>
        <v>2026.1</v>
      </c>
      <c r="AU13" s="38">
        <f t="shared" si="48"/>
        <v>2254.3</v>
      </c>
      <c r="AV13" s="38">
        <f t="shared" si="43"/>
        <v>228.20000000000027</v>
      </c>
      <c r="AW13" s="43">
        <f>AU13/AT13%</f>
        <v>111.26301762005825</v>
      </c>
      <c r="AX13" s="30">
        <v>742.6</v>
      </c>
      <c r="AY13" s="31">
        <v>778</v>
      </c>
      <c r="AZ13" s="32">
        <f t="shared" si="49"/>
        <v>35.39999999999998</v>
      </c>
      <c r="BA13" s="44">
        <f t="shared" si="44"/>
        <v>104.76703474279559</v>
      </c>
      <c r="BB13" s="30">
        <v>649</v>
      </c>
      <c r="BC13" s="31">
        <v>838.9</v>
      </c>
      <c r="BD13" s="32">
        <f t="shared" si="18"/>
        <v>189.89999999999998</v>
      </c>
      <c r="BE13" s="28">
        <f>BC13/BB13%</f>
        <v>129.26040061633282</v>
      </c>
      <c r="BF13" s="39">
        <v>634.5</v>
      </c>
      <c r="BG13" s="31">
        <v>637.4</v>
      </c>
      <c r="BH13" s="32">
        <f t="shared" si="20"/>
        <v>2.8999999999999773</v>
      </c>
      <c r="BI13" s="28">
        <f aca="true" t="shared" si="50" ref="BI13:BI20">BG13/BF13%</f>
        <v>100.45705279747833</v>
      </c>
      <c r="BJ13" s="45">
        <f t="shared" si="34"/>
        <v>1536.8</v>
      </c>
      <c r="BK13" s="38">
        <f t="shared" si="35"/>
        <v>0</v>
      </c>
      <c r="BL13" s="38">
        <f t="shared" si="36"/>
        <v>-1536.8</v>
      </c>
      <c r="BM13" s="43">
        <f>BK13/BJ13%</f>
        <v>0</v>
      </c>
      <c r="BN13" s="30">
        <v>846.3</v>
      </c>
      <c r="BO13" s="31"/>
      <c r="BP13" s="7">
        <f t="shared" si="22"/>
        <v>-846.3</v>
      </c>
      <c r="BQ13" s="44">
        <f>BO13/BN13%</f>
        <v>0</v>
      </c>
      <c r="BR13" s="377">
        <f>719.9-29.4</f>
        <v>690.5</v>
      </c>
      <c r="BS13" s="31"/>
      <c r="BT13" s="32">
        <f t="shared" si="23"/>
        <v>-690.5</v>
      </c>
      <c r="BU13" s="32">
        <f>BS13/BR13%</f>
        <v>0</v>
      </c>
      <c r="BV13" s="378">
        <f>970.6-970.6</f>
        <v>0</v>
      </c>
      <c r="BW13" s="31"/>
      <c r="BX13" s="32">
        <f t="shared" si="25"/>
        <v>0</v>
      </c>
      <c r="BY13" s="32" t="e">
        <f t="shared" si="26"/>
        <v>#DIV/0!</v>
      </c>
      <c r="CE13" s="31"/>
    </row>
    <row r="14" spans="1:83" ht="60.75" customHeight="1">
      <c r="A14" s="235" t="s">
        <v>109</v>
      </c>
      <c r="B14" s="30">
        <f t="shared" si="27"/>
        <v>6285.7</v>
      </c>
      <c r="C14" s="31">
        <f t="shared" si="27"/>
        <v>5159.200000000001</v>
      </c>
      <c r="D14" s="33">
        <f>C14-B14</f>
        <v>-1126.499999999999</v>
      </c>
      <c r="E14" s="220">
        <f t="shared" si="1"/>
        <v>82.0783683599281</v>
      </c>
      <c r="F14" s="34">
        <f t="shared" si="2"/>
        <v>2980.3999999999996</v>
      </c>
      <c r="G14" s="35">
        <f t="shared" si="2"/>
        <v>3456.6000000000004</v>
      </c>
      <c r="H14" s="236">
        <f t="shared" si="3"/>
        <v>476.2000000000007</v>
      </c>
      <c r="I14" s="237">
        <f>G14/F14%</f>
        <v>115.97772111126027</v>
      </c>
      <c r="J14" s="37">
        <f t="shared" si="45"/>
        <v>1129.3</v>
      </c>
      <c r="K14" s="38">
        <f t="shared" si="46"/>
        <v>1731</v>
      </c>
      <c r="L14" s="38">
        <f t="shared" si="5"/>
        <v>601.7</v>
      </c>
      <c r="M14" s="43">
        <f t="shared" si="6"/>
        <v>153.28079341184807</v>
      </c>
      <c r="N14" s="238">
        <v>277.4</v>
      </c>
      <c r="O14" s="31">
        <v>822</v>
      </c>
      <c r="P14" s="33">
        <f t="shared" si="7"/>
        <v>544.6</v>
      </c>
      <c r="Q14" s="32" t="s">
        <v>27</v>
      </c>
      <c r="R14" s="238">
        <v>365</v>
      </c>
      <c r="S14" s="31">
        <v>444.3</v>
      </c>
      <c r="T14" s="33">
        <f t="shared" si="9"/>
        <v>79.30000000000001</v>
      </c>
      <c r="U14" s="7">
        <f t="shared" si="39"/>
        <v>121.72602739726028</v>
      </c>
      <c r="V14" s="238">
        <v>486.9</v>
      </c>
      <c r="W14" s="31">
        <f>454.4+10.3</f>
        <v>464.7</v>
      </c>
      <c r="X14" s="33">
        <f t="shared" si="10"/>
        <v>-22.19999999999999</v>
      </c>
      <c r="Y14" s="220">
        <f t="shared" si="11"/>
        <v>95.44054220579174</v>
      </c>
      <c r="Z14" s="38">
        <f t="shared" si="40"/>
        <v>1851.1</v>
      </c>
      <c r="AA14" s="38">
        <f t="shared" si="28"/>
        <v>1725.6000000000001</v>
      </c>
      <c r="AB14" s="38">
        <f t="shared" si="29"/>
        <v>-125.49999999999977</v>
      </c>
      <c r="AC14" s="38">
        <f>AA14/Z14%</f>
        <v>93.22024742045272</v>
      </c>
      <c r="AD14" s="238">
        <v>437</v>
      </c>
      <c r="AE14" s="31">
        <v>498.6</v>
      </c>
      <c r="AF14" s="33">
        <f t="shared" si="30"/>
        <v>61.60000000000002</v>
      </c>
      <c r="AG14" s="220">
        <f>AE14/AD14%</f>
        <v>114.09610983981693</v>
      </c>
      <c r="AH14" s="238">
        <v>495.6</v>
      </c>
      <c r="AI14" s="31">
        <v>749.7</v>
      </c>
      <c r="AJ14" s="33">
        <f t="shared" si="12"/>
        <v>254.10000000000002</v>
      </c>
      <c r="AK14" s="32">
        <f t="shared" si="42"/>
        <v>151.27118644067795</v>
      </c>
      <c r="AL14" s="384">
        <f>418.5+500</f>
        <v>918.5</v>
      </c>
      <c r="AM14" s="31">
        <v>477.3</v>
      </c>
      <c r="AN14" s="33">
        <f t="shared" si="13"/>
        <v>-441.2</v>
      </c>
      <c r="AO14" s="220">
        <f t="shared" si="14"/>
        <v>51.96516058791508</v>
      </c>
      <c r="AP14" s="40">
        <f t="shared" si="47"/>
        <v>5267.7</v>
      </c>
      <c r="AQ14" s="41">
        <f t="shared" si="32"/>
        <v>5159.200000000001</v>
      </c>
      <c r="AR14" s="41">
        <f t="shared" si="15"/>
        <v>-108.49999999999909</v>
      </c>
      <c r="AS14" s="42">
        <f>AQ14/AP14%</f>
        <v>97.94027754048258</v>
      </c>
      <c r="AT14" s="37">
        <f t="shared" si="33"/>
        <v>2287.3</v>
      </c>
      <c r="AU14" s="38">
        <f t="shared" si="48"/>
        <v>1702.6</v>
      </c>
      <c r="AV14" s="38">
        <f t="shared" si="43"/>
        <v>-584.7000000000003</v>
      </c>
      <c r="AW14" s="43">
        <f>AU14/AT14%</f>
        <v>74.43710925545402</v>
      </c>
      <c r="AX14" s="238">
        <v>489.3</v>
      </c>
      <c r="AY14" s="31">
        <v>537.4</v>
      </c>
      <c r="AZ14" s="33">
        <f t="shared" si="49"/>
        <v>48.099999999999966</v>
      </c>
      <c r="BA14" s="239">
        <f t="shared" si="44"/>
        <v>109.83036991620682</v>
      </c>
      <c r="BB14" s="238">
        <v>543.6</v>
      </c>
      <c r="BC14" s="31">
        <v>524.9</v>
      </c>
      <c r="BD14" s="33">
        <f t="shared" si="18"/>
        <v>-18.700000000000045</v>
      </c>
      <c r="BE14" s="220">
        <f>BC14/BB14%</f>
        <v>96.55997056659308</v>
      </c>
      <c r="BF14" s="240">
        <v>1254.4</v>
      </c>
      <c r="BG14" s="31">
        <v>640.3</v>
      </c>
      <c r="BH14" s="33">
        <f t="shared" si="20"/>
        <v>-614.1000000000001</v>
      </c>
      <c r="BI14" s="220">
        <f t="shared" si="50"/>
        <v>51.04432397959183</v>
      </c>
      <c r="BJ14" s="45">
        <f t="shared" si="34"/>
        <v>1018</v>
      </c>
      <c r="BK14" s="38">
        <f t="shared" si="35"/>
        <v>0</v>
      </c>
      <c r="BL14" s="38">
        <f t="shared" si="36"/>
        <v>-1018</v>
      </c>
      <c r="BM14" s="43">
        <f>BK14/BJ14%</f>
        <v>0</v>
      </c>
      <c r="BN14" s="238">
        <v>430</v>
      </c>
      <c r="BO14" s="31"/>
      <c r="BP14" s="33">
        <f t="shared" si="22"/>
        <v>-430</v>
      </c>
      <c r="BQ14" s="239">
        <f>BO14/BN14%</f>
        <v>0</v>
      </c>
      <c r="BR14" s="31">
        <v>450.4</v>
      </c>
      <c r="BS14" s="31"/>
      <c r="BT14" s="33">
        <f t="shared" si="23"/>
        <v>-450.4</v>
      </c>
      <c r="BU14" s="33">
        <f>BS14/BR14%</f>
        <v>0</v>
      </c>
      <c r="BV14" s="379">
        <f>637.6-500</f>
        <v>137.60000000000002</v>
      </c>
      <c r="BW14" s="31"/>
      <c r="BX14" s="33">
        <f t="shared" si="25"/>
        <v>-137.60000000000002</v>
      </c>
      <c r="BY14" s="220">
        <f t="shared" si="26"/>
        <v>0</v>
      </c>
      <c r="CE14" s="31"/>
    </row>
    <row r="15" spans="1:83" ht="15.75" customHeight="1" hidden="1">
      <c r="A15" s="241" t="s">
        <v>110</v>
      </c>
      <c r="B15" s="242">
        <f t="shared" si="27"/>
        <v>0</v>
      </c>
      <c r="C15" s="243">
        <f t="shared" si="27"/>
        <v>0</v>
      </c>
      <c r="D15" s="244">
        <f t="shared" si="0"/>
        <v>0</v>
      </c>
      <c r="E15" s="245" t="e">
        <f t="shared" si="1"/>
        <v>#DIV/0!</v>
      </c>
      <c r="F15" s="246">
        <f t="shared" si="2"/>
        <v>0</v>
      </c>
      <c r="G15" s="244">
        <f t="shared" si="2"/>
        <v>0</v>
      </c>
      <c r="H15" s="244">
        <f t="shared" si="3"/>
        <v>0</v>
      </c>
      <c r="I15" s="247" t="e">
        <f>G15/F15%</f>
        <v>#DIV/0!</v>
      </c>
      <c r="J15" s="248">
        <f t="shared" si="45"/>
        <v>0</v>
      </c>
      <c r="K15" s="244">
        <f t="shared" si="46"/>
        <v>0</v>
      </c>
      <c r="L15" s="244">
        <f t="shared" si="5"/>
        <v>0</v>
      </c>
      <c r="M15" s="245" t="e">
        <f t="shared" si="6"/>
        <v>#DIV/0!</v>
      </c>
      <c r="N15" s="249"/>
      <c r="O15" s="243"/>
      <c r="P15" s="244"/>
      <c r="Q15" s="220" t="e">
        <f t="shared" si="8"/>
        <v>#DIV/0!</v>
      </c>
      <c r="R15" s="243"/>
      <c r="S15" s="243"/>
      <c r="T15" s="244"/>
      <c r="U15" s="7" t="e">
        <f t="shared" si="39"/>
        <v>#DIV/0!</v>
      </c>
      <c r="V15" s="243"/>
      <c r="W15" s="243"/>
      <c r="X15" s="244">
        <f t="shared" si="10"/>
        <v>0</v>
      </c>
      <c r="Y15" s="244" t="e">
        <f t="shared" si="11"/>
        <v>#DIV/0!</v>
      </c>
      <c r="Z15" s="244">
        <f t="shared" si="40"/>
        <v>0</v>
      </c>
      <c r="AA15" s="244">
        <f t="shared" si="28"/>
        <v>0</v>
      </c>
      <c r="AB15" s="244">
        <f t="shared" si="29"/>
        <v>0</v>
      </c>
      <c r="AC15" s="244" t="e">
        <f>AA15/Z15%</f>
        <v>#DIV/0!</v>
      </c>
      <c r="AD15" s="243"/>
      <c r="AE15" s="243"/>
      <c r="AF15" s="244">
        <f t="shared" si="30"/>
        <v>0</v>
      </c>
      <c r="AG15" s="244"/>
      <c r="AH15" s="243"/>
      <c r="AI15" s="243"/>
      <c r="AJ15" s="244"/>
      <c r="AK15" s="32" t="e">
        <f t="shared" si="42"/>
        <v>#DIV/0!</v>
      </c>
      <c r="AL15" s="243"/>
      <c r="AM15" s="243"/>
      <c r="AN15" s="244">
        <f t="shared" si="13"/>
        <v>0</v>
      </c>
      <c r="AO15" s="244" t="e">
        <f t="shared" si="14"/>
        <v>#DIV/0!</v>
      </c>
      <c r="AP15" s="246">
        <f t="shared" si="47"/>
        <v>0</v>
      </c>
      <c r="AQ15" s="244">
        <f t="shared" si="32"/>
        <v>0</v>
      </c>
      <c r="AR15" s="244">
        <f t="shared" si="15"/>
        <v>0</v>
      </c>
      <c r="AS15" s="245" t="e">
        <f>AQ15/AP15%</f>
        <v>#DIV/0!</v>
      </c>
      <c r="AT15" s="248">
        <f t="shared" si="33"/>
        <v>0</v>
      </c>
      <c r="AU15" s="244">
        <f t="shared" si="48"/>
        <v>0</v>
      </c>
      <c r="AV15" s="244">
        <f t="shared" si="43"/>
        <v>0</v>
      </c>
      <c r="AW15" s="245" t="e">
        <f>AU15/AT15%</f>
        <v>#DIV/0!</v>
      </c>
      <c r="AX15" s="242"/>
      <c r="AY15" s="243"/>
      <c r="AZ15" s="244"/>
      <c r="BA15" s="247"/>
      <c r="BB15" s="242"/>
      <c r="BC15" s="243"/>
      <c r="BD15" s="244"/>
      <c r="BE15" s="245"/>
      <c r="BF15" s="249"/>
      <c r="BG15" s="243"/>
      <c r="BH15" s="244">
        <f t="shared" si="20"/>
        <v>0</v>
      </c>
      <c r="BI15" s="245" t="e">
        <f t="shared" si="50"/>
        <v>#DIV/0!</v>
      </c>
      <c r="BJ15" s="246">
        <f t="shared" si="34"/>
        <v>0</v>
      </c>
      <c r="BK15" s="244"/>
      <c r="BL15" s="244"/>
      <c r="BM15" s="245"/>
      <c r="BN15" s="242"/>
      <c r="BO15" s="243"/>
      <c r="BP15" s="250"/>
      <c r="BQ15" s="247"/>
      <c r="BR15" s="243"/>
      <c r="BS15" s="243"/>
      <c r="BT15" s="244"/>
      <c r="BU15" s="244"/>
      <c r="BV15" s="249"/>
      <c r="BW15" s="243"/>
      <c r="BX15" s="244">
        <f t="shared" si="25"/>
        <v>0</v>
      </c>
      <c r="BY15" s="244" t="e">
        <f t="shared" si="26"/>
        <v>#DIV/0!</v>
      </c>
      <c r="BZ15" s="251"/>
      <c r="CE15" s="243"/>
    </row>
    <row r="16" spans="1:83" ht="15.75" customHeight="1" hidden="1">
      <c r="A16" s="241" t="s">
        <v>111</v>
      </c>
      <c r="B16" s="242"/>
      <c r="C16" s="243">
        <f>K16+AA16+AU16+BK16</f>
        <v>0</v>
      </c>
      <c r="D16" s="244">
        <f>C16-B16</f>
        <v>0</v>
      </c>
      <c r="E16" s="245"/>
      <c r="F16" s="246">
        <f t="shared" si="2"/>
        <v>0</v>
      </c>
      <c r="G16" s="244">
        <f t="shared" si="2"/>
        <v>0</v>
      </c>
      <c r="H16" s="244">
        <f t="shared" si="3"/>
        <v>0</v>
      </c>
      <c r="I16" s="247"/>
      <c r="J16" s="248"/>
      <c r="K16" s="244">
        <f t="shared" si="46"/>
        <v>0</v>
      </c>
      <c r="L16" s="244">
        <f t="shared" si="5"/>
        <v>0</v>
      </c>
      <c r="M16" s="245"/>
      <c r="N16" s="249"/>
      <c r="O16" s="243"/>
      <c r="P16" s="244"/>
      <c r="Q16" s="220" t="e">
        <f t="shared" si="8"/>
        <v>#DIV/0!</v>
      </c>
      <c r="R16" s="243"/>
      <c r="S16" s="243"/>
      <c r="T16" s="244"/>
      <c r="U16" s="7" t="e">
        <f t="shared" si="39"/>
        <v>#DIV/0!</v>
      </c>
      <c r="V16" s="243"/>
      <c r="W16" s="243"/>
      <c r="X16" s="244"/>
      <c r="Y16" s="244"/>
      <c r="Z16" s="244"/>
      <c r="AA16" s="244">
        <f t="shared" si="28"/>
        <v>0</v>
      </c>
      <c r="AB16" s="244">
        <f t="shared" si="29"/>
        <v>0</v>
      </c>
      <c r="AC16" s="244"/>
      <c r="AD16" s="243"/>
      <c r="AE16" s="243"/>
      <c r="AF16" s="244">
        <f t="shared" si="30"/>
        <v>0</v>
      </c>
      <c r="AG16" s="244"/>
      <c r="AH16" s="243"/>
      <c r="AI16" s="243"/>
      <c r="AJ16" s="244"/>
      <c r="AK16" s="32" t="e">
        <f t="shared" si="42"/>
        <v>#DIV/0!</v>
      </c>
      <c r="AL16" s="243"/>
      <c r="AM16" s="243"/>
      <c r="AN16" s="244"/>
      <c r="AO16" s="244"/>
      <c r="AP16" s="246">
        <f t="shared" si="47"/>
        <v>0</v>
      </c>
      <c r="AQ16" s="244">
        <f t="shared" si="32"/>
        <v>0</v>
      </c>
      <c r="AR16" s="244">
        <f t="shared" si="15"/>
        <v>0</v>
      </c>
      <c r="AS16" s="245"/>
      <c r="AT16" s="248">
        <f t="shared" si="33"/>
        <v>0</v>
      </c>
      <c r="AU16" s="244">
        <f t="shared" si="48"/>
        <v>0</v>
      </c>
      <c r="AV16" s="244">
        <f t="shared" si="43"/>
        <v>0</v>
      </c>
      <c r="AW16" s="245"/>
      <c r="AX16" s="242"/>
      <c r="AY16" s="243"/>
      <c r="AZ16" s="244"/>
      <c r="BA16" s="247"/>
      <c r="BB16" s="242"/>
      <c r="BC16" s="243"/>
      <c r="BD16" s="244"/>
      <c r="BE16" s="245"/>
      <c r="BF16" s="249"/>
      <c r="BG16" s="243"/>
      <c r="BH16" s="244"/>
      <c r="BI16" s="245"/>
      <c r="BJ16" s="246"/>
      <c r="BK16" s="244"/>
      <c r="BL16" s="244"/>
      <c r="BM16" s="245"/>
      <c r="BN16" s="242"/>
      <c r="BO16" s="243"/>
      <c r="BP16" s="250"/>
      <c r="BQ16" s="247"/>
      <c r="BR16" s="243"/>
      <c r="BS16" s="243"/>
      <c r="BT16" s="244"/>
      <c r="BU16" s="244"/>
      <c r="BV16" s="249"/>
      <c r="BW16" s="243"/>
      <c r="BX16" s="244"/>
      <c r="BY16" s="244"/>
      <c r="BZ16" s="251"/>
      <c r="CE16" s="243"/>
    </row>
    <row r="17" spans="1:83" ht="15.75" customHeight="1" hidden="1">
      <c r="A17" s="252" t="s">
        <v>112</v>
      </c>
      <c r="B17" s="242">
        <f>J17+Z17+AT17+BJ17</f>
        <v>0</v>
      </c>
      <c r="C17" s="243">
        <f>K17+AA17+AU17+BK17</f>
        <v>0</v>
      </c>
      <c r="D17" s="244">
        <f t="shared" si="0"/>
        <v>0</v>
      </c>
      <c r="E17" s="245" t="e">
        <f t="shared" si="1"/>
        <v>#DIV/0!</v>
      </c>
      <c r="F17" s="246">
        <f t="shared" si="2"/>
        <v>0</v>
      </c>
      <c r="G17" s="244">
        <f t="shared" si="2"/>
        <v>0</v>
      </c>
      <c r="H17" s="244">
        <f t="shared" si="3"/>
        <v>0</v>
      </c>
      <c r="I17" s="247" t="e">
        <f>G17/F17%</f>
        <v>#DIV/0!</v>
      </c>
      <c r="J17" s="248">
        <f t="shared" si="45"/>
        <v>0</v>
      </c>
      <c r="K17" s="244">
        <f t="shared" si="46"/>
        <v>0</v>
      </c>
      <c r="L17" s="244">
        <f t="shared" si="5"/>
        <v>0</v>
      </c>
      <c r="M17" s="245" t="e">
        <f t="shared" si="6"/>
        <v>#DIV/0!</v>
      </c>
      <c r="N17" s="249"/>
      <c r="O17" s="243"/>
      <c r="P17" s="244"/>
      <c r="Q17" s="220" t="e">
        <f t="shared" si="8"/>
        <v>#DIV/0!</v>
      </c>
      <c r="R17" s="243"/>
      <c r="S17" s="243"/>
      <c r="T17" s="244"/>
      <c r="U17" s="7" t="e">
        <f t="shared" si="39"/>
        <v>#DIV/0!</v>
      </c>
      <c r="V17" s="243"/>
      <c r="W17" s="243"/>
      <c r="X17" s="244">
        <f t="shared" si="10"/>
        <v>0</v>
      </c>
      <c r="Y17" s="244" t="e">
        <f>W17/V17%</f>
        <v>#DIV/0!</v>
      </c>
      <c r="Z17" s="244">
        <f t="shared" si="40"/>
        <v>0</v>
      </c>
      <c r="AA17" s="244">
        <f t="shared" si="28"/>
        <v>0</v>
      </c>
      <c r="AB17" s="244">
        <f t="shared" si="29"/>
        <v>0</v>
      </c>
      <c r="AC17" s="244" t="e">
        <f>AA17/Z17%</f>
        <v>#DIV/0!</v>
      </c>
      <c r="AD17" s="243"/>
      <c r="AE17" s="243"/>
      <c r="AF17" s="244">
        <f t="shared" si="30"/>
        <v>0</v>
      </c>
      <c r="AG17" s="244"/>
      <c r="AH17" s="243"/>
      <c r="AI17" s="243"/>
      <c r="AJ17" s="244"/>
      <c r="AK17" s="32" t="e">
        <f t="shared" si="42"/>
        <v>#DIV/0!</v>
      </c>
      <c r="AL17" s="243"/>
      <c r="AM17" s="243"/>
      <c r="AN17" s="244">
        <f t="shared" si="13"/>
        <v>0</v>
      </c>
      <c r="AO17" s="244" t="e">
        <f t="shared" si="14"/>
        <v>#DIV/0!</v>
      </c>
      <c r="AP17" s="246">
        <f t="shared" si="47"/>
        <v>0</v>
      </c>
      <c r="AQ17" s="244">
        <f t="shared" si="32"/>
        <v>0</v>
      </c>
      <c r="AR17" s="244">
        <f t="shared" si="15"/>
        <v>0</v>
      </c>
      <c r="AS17" s="245" t="e">
        <f>AQ17/AP17%</f>
        <v>#DIV/0!</v>
      </c>
      <c r="AT17" s="248">
        <f t="shared" si="33"/>
        <v>0</v>
      </c>
      <c r="AU17" s="244">
        <f t="shared" si="48"/>
        <v>0</v>
      </c>
      <c r="AV17" s="244">
        <f t="shared" si="43"/>
        <v>0</v>
      </c>
      <c r="AW17" s="245" t="e">
        <f>AU17/AT17%</f>
        <v>#DIV/0!</v>
      </c>
      <c r="AX17" s="242"/>
      <c r="AY17" s="243"/>
      <c r="AZ17" s="244"/>
      <c r="BA17" s="247"/>
      <c r="BB17" s="242"/>
      <c r="BC17" s="243"/>
      <c r="BD17" s="244"/>
      <c r="BE17" s="245"/>
      <c r="BF17" s="249"/>
      <c r="BG17" s="243"/>
      <c r="BH17" s="244">
        <f t="shared" si="20"/>
        <v>0</v>
      </c>
      <c r="BI17" s="245" t="e">
        <f t="shared" si="50"/>
        <v>#DIV/0!</v>
      </c>
      <c r="BJ17" s="246">
        <f t="shared" si="34"/>
        <v>0</v>
      </c>
      <c r="BK17" s="244"/>
      <c r="BL17" s="244"/>
      <c r="BM17" s="245"/>
      <c r="BN17" s="242"/>
      <c r="BO17" s="243"/>
      <c r="BP17" s="250"/>
      <c r="BQ17" s="247"/>
      <c r="BR17" s="243"/>
      <c r="BS17" s="243"/>
      <c r="BT17" s="244"/>
      <c r="BU17" s="244"/>
      <c r="BV17" s="249"/>
      <c r="BW17" s="243"/>
      <c r="BX17" s="244">
        <f t="shared" si="25"/>
        <v>0</v>
      </c>
      <c r="BY17" s="244" t="e">
        <f t="shared" si="26"/>
        <v>#DIV/0!</v>
      </c>
      <c r="BZ17" s="251"/>
      <c r="CE17" s="243"/>
    </row>
    <row r="18" spans="1:83" ht="15.75" customHeight="1" hidden="1">
      <c r="A18" s="252" t="s">
        <v>113</v>
      </c>
      <c r="B18" s="242"/>
      <c r="C18" s="243"/>
      <c r="D18" s="244"/>
      <c r="E18" s="245"/>
      <c r="F18" s="246">
        <f t="shared" si="2"/>
        <v>0</v>
      </c>
      <c r="G18" s="244">
        <f t="shared" si="2"/>
        <v>0</v>
      </c>
      <c r="H18" s="244">
        <f t="shared" si="3"/>
        <v>0</v>
      </c>
      <c r="I18" s="247" t="e">
        <f>G18/F18%</f>
        <v>#DIV/0!</v>
      </c>
      <c r="J18" s="248"/>
      <c r="K18" s="244"/>
      <c r="L18" s="244"/>
      <c r="M18" s="245"/>
      <c r="N18" s="249"/>
      <c r="O18" s="243"/>
      <c r="P18" s="244"/>
      <c r="Q18" s="220" t="e">
        <f t="shared" si="8"/>
        <v>#DIV/0!</v>
      </c>
      <c r="R18" s="243"/>
      <c r="S18" s="243"/>
      <c r="T18" s="244"/>
      <c r="U18" s="7" t="e">
        <f t="shared" si="39"/>
        <v>#DIV/0!</v>
      </c>
      <c r="V18" s="243"/>
      <c r="W18" s="243"/>
      <c r="X18" s="244"/>
      <c r="Y18" s="244"/>
      <c r="Z18" s="244"/>
      <c r="AA18" s="244">
        <f t="shared" si="28"/>
        <v>0</v>
      </c>
      <c r="AB18" s="244">
        <f t="shared" si="29"/>
        <v>0</v>
      </c>
      <c r="AC18" s="244" t="e">
        <f>AA18/Z18%</f>
        <v>#DIV/0!</v>
      </c>
      <c r="AD18" s="243"/>
      <c r="AE18" s="243"/>
      <c r="AF18" s="244">
        <f t="shared" si="30"/>
        <v>0</v>
      </c>
      <c r="AG18" s="244"/>
      <c r="AH18" s="243"/>
      <c r="AI18" s="243"/>
      <c r="AJ18" s="244"/>
      <c r="AK18" s="32" t="e">
        <f t="shared" si="42"/>
        <v>#DIV/0!</v>
      </c>
      <c r="AL18" s="243"/>
      <c r="AM18" s="243"/>
      <c r="AN18" s="244"/>
      <c r="AO18" s="244"/>
      <c r="AP18" s="246">
        <f t="shared" si="47"/>
        <v>0</v>
      </c>
      <c r="AQ18" s="244">
        <f t="shared" si="32"/>
        <v>0</v>
      </c>
      <c r="AR18" s="244">
        <f t="shared" si="15"/>
        <v>0</v>
      </c>
      <c r="AS18" s="245" t="e">
        <f>AQ18/AP18%</f>
        <v>#DIV/0!</v>
      </c>
      <c r="AT18" s="248"/>
      <c r="AU18" s="244">
        <f t="shared" si="48"/>
        <v>0</v>
      </c>
      <c r="AV18" s="244">
        <f t="shared" si="43"/>
        <v>0</v>
      </c>
      <c r="AW18" s="245" t="e">
        <f>AU18/AT18%</f>
        <v>#DIV/0!</v>
      </c>
      <c r="AX18" s="242"/>
      <c r="AY18" s="243"/>
      <c r="AZ18" s="244"/>
      <c r="BA18" s="247"/>
      <c r="BB18" s="242"/>
      <c r="BC18" s="243"/>
      <c r="BD18" s="244"/>
      <c r="BE18" s="245"/>
      <c r="BF18" s="249"/>
      <c r="BG18" s="243"/>
      <c r="BH18" s="244"/>
      <c r="BI18" s="245"/>
      <c r="BJ18" s="246"/>
      <c r="BK18" s="244"/>
      <c r="BL18" s="244"/>
      <c r="BM18" s="245"/>
      <c r="BN18" s="242"/>
      <c r="BO18" s="243"/>
      <c r="BP18" s="250"/>
      <c r="BQ18" s="247"/>
      <c r="BR18" s="243"/>
      <c r="BS18" s="243"/>
      <c r="BT18" s="244"/>
      <c r="BU18" s="244"/>
      <c r="BV18" s="249"/>
      <c r="BW18" s="243"/>
      <c r="BX18" s="244"/>
      <c r="BY18" s="244"/>
      <c r="BZ18" s="251"/>
      <c r="CE18" s="243"/>
    </row>
    <row r="19" spans="1:83" ht="15.75" customHeight="1" hidden="1">
      <c r="A19" s="252" t="s">
        <v>114</v>
      </c>
      <c r="B19" s="242">
        <f>J19+Z19+AT19+BJ19</f>
        <v>0</v>
      </c>
      <c r="C19" s="243">
        <f>K19+AA19+AU19+BK19</f>
        <v>0</v>
      </c>
      <c r="D19" s="244">
        <f t="shared" si="0"/>
        <v>0</v>
      </c>
      <c r="E19" s="245" t="e">
        <f t="shared" si="1"/>
        <v>#DIV/0!</v>
      </c>
      <c r="F19" s="246">
        <f t="shared" si="2"/>
        <v>0</v>
      </c>
      <c r="G19" s="244">
        <f t="shared" si="2"/>
        <v>0</v>
      </c>
      <c r="H19" s="244">
        <f t="shared" si="3"/>
        <v>0</v>
      </c>
      <c r="I19" s="247" t="e">
        <f>G19/F19%</f>
        <v>#DIV/0!</v>
      </c>
      <c r="J19" s="248">
        <f t="shared" si="45"/>
        <v>0</v>
      </c>
      <c r="K19" s="244">
        <f t="shared" si="46"/>
        <v>0</v>
      </c>
      <c r="L19" s="244">
        <f t="shared" si="5"/>
        <v>0</v>
      </c>
      <c r="M19" s="245" t="e">
        <f t="shared" si="6"/>
        <v>#DIV/0!</v>
      </c>
      <c r="N19" s="249"/>
      <c r="O19" s="243"/>
      <c r="P19" s="244"/>
      <c r="Q19" s="220" t="e">
        <f t="shared" si="8"/>
        <v>#DIV/0!</v>
      </c>
      <c r="R19" s="243"/>
      <c r="S19" s="243"/>
      <c r="T19" s="244"/>
      <c r="U19" s="7" t="e">
        <f t="shared" si="39"/>
        <v>#DIV/0!</v>
      </c>
      <c r="V19" s="243"/>
      <c r="W19" s="243"/>
      <c r="X19" s="244">
        <f t="shared" si="10"/>
        <v>0</v>
      </c>
      <c r="Y19" s="244" t="e">
        <f t="shared" si="11"/>
        <v>#DIV/0!</v>
      </c>
      <c r="Z19" s="244">
        <f t="shared" si="40"/>
        <v>0</v>
      </c>
      <c r="AA19" s="244">
        <f t="shared" si="28"/>
        <v>0</v>
      </c>
      <c r="AB19" s="244">
        <f t="shared" si="29"/>
        <v>0</v>
      </c>
      <c r="AC19" s="244" t="e">
        <f>AA19/Z19%</f>
        <v>#DIV/0!</v>
      </c>
      <c r="AD19" s="243"/>
      <c r="AE19" s="243"/>
      <c r="AF19" s="244">
        <f t="shared" si="30"/>
        <v>0</v>
      </c>
      <c r="AG19" s="244"/>
      <c r="AH19" s="243"/>
      <c r="AI19" s="243"/>
      <c r="AJ19" s="244"/>
      <c r="AK19" s="32" t="e">
        <f t="shared" si="42"/>
        <v>#DIV/0!</v>
      </c>
      <c r="AL19" s="243"/>
      <c r="AM19" s="243"/>
      <c r="AN19" s="244">
        <f t="shared" si="13"/>
        <v>0</v>
      </c>
      <c r="AO19" s="244" t="e">
        <f t="shared" si="14"/>
        <v>#DIV/0!</v>
      </c>
      <c r="AP19" s="246">
        <f t="shared" si="47"/>
        <v>0</v>
      </c>
      <c r="AQ19" s="244">
        <f t="shared" si="32"/>
        <v>0</v>
      </c>
      <c r="AR19" s="244">
        <f t="shared" si="15"/>
        <v>0</v>
      </c>
      <c r="AS19" s="245" t="e">
        <f>AQ19/AP19%</f>
        <v>#DIV/0!</v>
      </c>
      <c r="AT19" s="248">
        <f aca="true" t="shared" si="51" ref="AT19:AT39">AX19+BB19+BF19</f>
        <v>0</v>
      </c>
      <c r="AU19" s="244">
        <f t="shared" si="48"/>
        <v>0</v>
      </c>
      <c r="AV19" s="244">
        <f t="shared" si="43"/>
        <v>0</v>
      </c>
      <c r="AW19" s="245" t="e">
        <f>AU19/AT19%</f>
        <v>#DIV/0!</v>
      </c>
      <c r="AX19" s="242"/>
      <c r="AY19" s="243"/>
      <c r="AZ19" s="244"/>
      <c r="BA19" s="247"/>
      <c r="BB19" s="242"/>
      <c r="BC19" s="243"/>
      <c r="BD19" s="244"/>
      <c r="BE19" s="245"/>
      <c r="BF19" s="249"/>
      <c r="BG19" s="243"/>
      <c r="BH19" s="244">
        <f t="shared" si="20"/>
        <v>0</v>
      </c>
      <c r="BI19" s="245" t="e">
        <f t="shared" si="50"/>
        <v>#DIV/0!</v>
      </c>
      <c r="BJ19" s="246">
        <f t="shared" si="34"/>
        <v>0</v>
      </c>
      <c r="BK19" s="244"/>
      <c r="BL19" s="244"/>
      <c r="BM19" s="245"/>
      <c r="BN19" s="242"/>
      <c r="BO19" s="243"/>
      <c r="BP19" s="250"/>
      <c r="BQ19" s="247"/>
      <c r="BR19" s="243"/>
      <c r="BS19" s="243"/>
      <c r="BT19" s="244"/>
      <c r="BU19" s="244"/>
      <c r="BV19" s="249"/>
      <c r="BW19" s="243"/>
      <c r="BX19" s="244">
        <f t="shared" si="25"/>
        <v>0</v>
      </c>
      <c r="BY19" s="244" t="e">
        <f t="shared" si="26"/>
        <v>#DIV/0!</v>
      </c>
      <c r="BZ19" s="251"/>
      <c r="CE19" s="243"/>
    </row>
    <row r="20" spans="1:83" ht="39.75" customHeight="1">
      <c r="A20" s="253" t="s">
        <v>152</v>
      </c>
      <c r="B20" s="30">
        <f>J20+Z20+AT20+BJ20</f>
        <v>364</v>
      </c>
      <c r="C20" s="31">
        <f>K20+AA20+AU20+BK20</f>
        <v>180</v>
      </c>
      <c r="D20" s="33">
        <f t="shared" si="0"/>
        <v>-184</v>
      </c>
      <c r="E20" s="220">
        <f t="shared" si="1"/>
        <v>49.450549450549445</v>
      </c>
      <c r="F20" s="34">
        <f t="shared" si="2"/>
        <v>184</v>
      </c>
      <c r="G20" s="35">
        <f t="shared" si="2"/>
        <v>140</v>
      </c>
      <c r="H20" s="35">
        <f t="shared" si="3"/>
        <v>-44</v>
      </c>
      <c r="I20" s="36">
        <f>G20/F20%</f>
        <v>76.08695652173913</v>
      </c>
      <c r="J20" s="37">
        <f t="shared" si="45"/>
        <v>87</v>
      </c>
      <c r="K20" s="38">
        <f t="shared" si="46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0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39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0"/>
        <v>97</v>
      </c>
      <c r="AA20" s="38">
        <f t="shared" si="28"/>
        <v>105</v>
      </c>
      <c r="AB20" s="38">
        <f t="shared" si="29"/>
        <v>8</v>
      </c>
      <c r="AC20" s="38">
        <f>AA20/Z20%</f>
        <v>108.24742268041237</v>
      </c>
      <c r="AD20" s="31">
        <v>33</v>
      </c>
      <c r="AE20" s="31">
        <v>35</v>
      </c>
      <c r="AF20" s="32">
        <f t="shared" si="30"/>
        <v>2</v>
      </c>
      <c r="AG20" s="32">
        <f>AE20/AD20%</f>
        <v>106.06060606060606</v>
      </c>
      <c r="AH20" s="31">
        <v>30</v>
      </c>
      <c r="AI20" s="31"/>
      <c r="AJ20" s="32">
        <f t="shared" si="12"/>
        <v>-30</v>
      </c>
      <c r="AK20" s="32">
        <f t="shared" si="42"/>
        <v>0</v>
      </c>
      <c r="AL20" s="31">
        <v>34</v>
      </c>
      <c r="AM20" s="31">
        <v>70</v>
      </c>
      <c r="AN20" s="32">
        <f t="shared" si="13"/>
        <v>36</v>
      </c>
      <c r="AO20" s="32">
        <f t="shared" si="14"/>
        <v>205.88235294117646</v>
      </c>
      <c r="AP20" s="40">
        <f t="shared" si="47"/>
        <v>274</v>
      </c>
      <c r="AQ20" s="41">
        <f t="shared" si="32"/>
        <v>180</v>
      </c>
      <c r="AR20" s="41">
        <f t="shared" si="15"/>
        <v>-94</v>
      </c>
      <c r="AS20" s="42">
        <f>AQ20/AP20%</f>
        <v>65.6934306569343</v>
      </c>
      <c r="AT20" s="37">
        <f t="shared" si="51"/>
        <v>90</v>
      </c>
      <c r="AU20" s="38">
        <f t="shared" si="48"/>
        <v>40</v>
      </c>
      <c r="AV20" s="38">
        <f t="shared" si="43"/>
        <v>-50</v>
      </c>
      <c r="AW20" s="43">
        <f>AU20/AT20%</f>
        <v>44.44444444444444</v>
      </c>
      <c r="AX20" s="30">
        <v>30</v>
      </c>
      <c r="AY20" s="31">
        <v>20</v>
      </c>
      <c r="AZ20" s="32">
        <f t="shared" si="49"/>
        <v>-10</v>
      </c>
      <c r="BA20" s="44">
        <f t="shared" si="44"/>
        <v>66.66666666666667</v>
      </c>
      <c r="BB20" s="30">
        <v>30</v>
      </c>
      <c r="BC20" s="31">
        <v>10</v>
      </c>
      <c r="BD20" s="32">
        <f t="shared" si="18"/>
        <v>-20</v>
      </c>
      <c r="BE20" s="28">
        <f>BC20/BB20%</f>
        <v>33.333333333333336</v>
      </c>
      <c r="BF20" s="39">
        <v>30</v>
      </c>
      <c r="BG20" s="31">
        <v>10</v>
      </c>
      <c r="BH20" s="32">
        <f t="shared" si="20"/>
        <v>-20</v>
      </c>
      <c r="BI20" s="28">
        <f t="shared" si="50"/>
        <v>33.333333333333336</v>
      </c>
      <c r="BJ20" s="45">
        <f t="shared" si="34"/>
        <v>90</v>
      </c>
      <c r="BK20" s="38">
        <f t="shared" si="35"/>
        <v>0</v>
      </c>
      <c r="BL20" s="38">
        <f t="shared" si="36"/>
        <v>-90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54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30</v>
      </c>
      <c r="BW20" s="31"/>
      <c r="BX20" s="32">
        <f t="shared" si="25"/>
        <v>-30</v>
      </c>
      <c r="BY20" s="32">
        <f t="shared" si="26"/>
        <v>0</v>
      </c>
      <c r="CE20" s="31"/>
    </row>
    <row r="21" spans="1:83" ht="15.75" customHeight="1" hidden="1">
      <c r="A21" s="255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488">
        <f t="shared" si="46"/>
        <v>0</v>
      </c>
      <c r="L21" s="488">
        <f t="shared" si="5"/>
        <v>0</v>
      </c>
      <c r="M21" s="489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88">
        <f t="shared" si="40"/>
        <v>0</v>
      </c>
      <c r="AA21" s="488">
        <f t="shared" si="28"/>
        <v>0</v>
      </c>
      <c r="AB21" s="488">
        <f t="shared" si="29"/>
        <v>0</v>
      </c>
      <c r="AC21" s="488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1"/>
        <v>0</v>
      </c>
      <c r="AU21" s="26">
        <f>AY21+BC21+BG21</f>
        <v>0</v>
      </c>
      <c r="AV21" s="488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88">
        <f t="shared" si="35"/>
        <v>0</v>
      </c>
      <c r="BL21" s="488">
        <f t="shared" si="36"/>
        <v>0</v>
      </c>
      <c r="BM21" s="489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3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39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0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4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1"/>
        <v>0</v>
      </c>
      <c r="AU22" s="38">
        <f>SUM(AY22+BC22+BG22)</f>
        <v>0</v>
      </c>
      <c r="AV22" s="38">
        <f t="shared" si="43"/>
        <v>0</v>
      </c>
      <c r="AW22" s="43"/>
      <c r="AX22" s="30"/>
      <c r="AY22" s="31"/>
      <c r="AZ22" s="32">
        <f t="shared" si="49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56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39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0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4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3"/>
        <v>0</v>
      </c>
      <c r="AW23" s="43"/>
      <c r="AX23" s="30"/>
      <c r="AY23" s="31"/>
      <c r="AZ23" s="32">
        <f t="shared" si="49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5" t="s">
        <v>33</v>
      </c>
      <c r="B24" s="22">
        <f>B25+B27+B28+B29+B30+B26</f>
        <v>27588.699999999997</v>
      </c>
      <c r="C24" s="23">
        <f>C25+C27+C28+C29+C30+C26</f>
        <v>17617.899999999998</v>
      </c>
      <c r="D24" s="8">
        <f t="shared" si="0"/>
        <v>-9970.8</v>
      </c>
      <c r="E24" s="20">
        <f t="shared" si="1"/>
        <v>63.8591162323705</v>
      </c>
      <c r="F24" s="9">
        <f t="shared" si="2"/>
        <v>12751.8</v>
      </c>
      <c r="G24" s="10">
        <f t="shared" si="2"/>
        <v>10594.5</v>
      </c>
      <c r="H24" s="10">
        <f t="shared" si="3"/>
        <v>-2157.2999999999993</v>
      </c>
      <c r="I24" s="11">
        <f>G24/F24%</f>
        <v>83.0823883687009</v>
      </c>
      <c r="J24" s="24">
        <f t="shared" si="45"/>
        <v>6288.1</v>
      </c>
      <c r="K24" s="488">
        <f>SUM(O24+S24+W24)</f>
        <v>5040.800000000001</v>
      </c>
      <c r="L24" s="488">
        <f t="shared" si="5"/>
        <v>-1247.2999999999993</v>
      </c>
      <c r="M24" s="489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2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39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88">
        <f t="shared" si="40"/>
        <v>6463.7</v>
      </c>
      <c r="AA24" s="488">
        <f t="shared" si="28"/>
        <v>5553.7</v>
      </c>
      <c r="AB24" s="488">
        <f t="shared" si="29"/>
        <v>-910</v>
      </c>
      <c r="AC24" s="488">
        <f>AA24/Z24%</f>
        <v>85.92137630149914</v>
      </c>
      <c r="AD24" s="23">
        <f>AD25+AD27+AD28+AD29+AD30</f>
        <v>1934.5</v>
      </c>
      <c r="AE24" s="23">
        <f>AE25+AE27+AE28+AE29+AE30</f>
        <v>1214.8</v>
      </c>
      <c r="AF24" s="7">
        <f t="shared" si="30"/>
        <v>-719.7</v>
      </c>
      <c r="AG24" s="7">
        <f aca="true" t="shared" si="53" ref="AG24:AG34">AE24/AD24%</f>
        <v>62.796588265701736</v>
      </c>
      <c r="AH24" s="23">
        <f>AH25+AH27+AH28+AH29+AH30</f>
        <v>2134.6</v>
      </c>
      <c r="AI24" s="23">
        <f>AI25+AI27+AI28+AI29+AI30</f>
        <v>1197.8</v>
      </c>
      <c r="AJ24" s="7">
        <f t="shared" si="12"/>
        <v>-936.8</v>
      </c>
      <c r="AK24" s="7">
        <f t="shared" si="42"/>
        <v>56.11355757518973</v>
      </c>
      <c r="AL24" s="23">
        <f>AL25+AL27+AL28+AL29+AL30</f>
        <v>2394.6</v>
      </c>
      <c r="AM24" s="23">
        <f>AM25+AM27+AM28+AM29+AM30</f>
        <v>3141.1</v>
      </c>
      <c r="AN24" s="7">
        <f t="shared" si="13"/>
        <v>746.5</v>
      </c>
      <c r="AO24" s="7">
        <f t="shared" si="14"/>
        <v>131.17430886160528</v>
      </c>
      <c r="AP24" s="14">
        <f t="shared" si="47"/>
        <v>19465.6</v>
      </c>
      <c r="AQ24" s="15">
        <f t="shared" si="47"/>
        <v>17617.9</v>
      </c>
      <c r="AR24" s="15">
        <f t="shared" si="15"/>
        <v>-1847.699999999997</v>
      </c>
      <c r="AS24" s="16">
        <f>AQ24/AP24%</f>
        <v>90.50787029426272</v>
      </c>
      <c r="AT24" s="24">
        <f t="shared" si="51"/>
        <v>6713.799999999999</v>
      </c>
      <c r="AU24" s="488">
        <f>SUM(AY24+BC24+BG24)</f>
        <v>7023.4</v>
      </c>
      <c r="AV24" s="488">
        <f t="shared" si="43"/>
        <v>309.60000000000036</v>
      </c>
      <c r="AW24" s="17">
        <f>AU24/AT24%</f>
        <v>104.61139742023892</v>
      </c>
      <c r="AX24" s="22">
        <f>AX25+AX27+AX28+AX29+AX30</f>
        <v>1864.6</v>
      </c>
      <c r="AY24" s="23">
        <f>AY25+AY27+AY28+AY29+AY30</f>
        <v>1817.5</v>
      </c>
      <c r="AZ24" s="7">
        <f t="shared" si="49"/>
        <v>-47.09999999999991</v>
      </c>
      <c r="BA24" s="19">
        <f t="shared" si="44"/>
        <v>97.47398905931567</v>
      </c>
      <c r="BB24" s="22">
        <f>BB25+BB27+BB28+BB29+BB30</f>
        <v>2064.6</v>
      </c>
      <c r="BC24" s="23">
        <f>BC25+BC27+BC28+BC29+BC30</f>
        <v>2640.8</v>
      </c>
      <c r="BD24" s="7">
        <f>BC24-BB24</f>
        <v>576.2000000000003</v>
      </c>
      <c r="BE24" s="18">
        <f>BC24/BB24%</f>
        <v>127.90855371500533</v>
      </c>
      <c r="BF24" s="25">
        <f>BF25+BF27+BF28+BF29+BF30</f>
        <v>2784.6</v>
      </c>
      <c r="BG24" s="25">
        <f>BG25+BG27+BG28+BG29+BG30</f>
        <v>2565.1</v>
      </c>
      <c r="BH24" s="7">
        <f>BG24-BF24</f>
        <v>-219.5</v>
      </c>
      <c r="BI24" s="18">
        <f>BG24/BF24%</f>
        <v>92.11735976441858</v>
      </c>
      <c r="BJ24" s="26">
        <f t="shared" si="34"/>
        <v>8123.0999999999985</v>
      </c>
      <c r="BK24" s="488">
        <f t="shared" si="35"/>
        <v>0</v>
      </c>
      <c r="BL24" s="488">
        <f t="shared" si="36"/>
        <v>-8123.0999999999985</v>
      </c>
      <c r="BM24" s="489">
        <f>BK24/BJ24%</f>
        <v>0</v>
      </c>
      <c r="BN24" s="25">
        <f>BN25+BN27+BN28+BN29+BN30</f>
        <v>1973.1999999999998</v>
      </c>
      <c r="BO24" s="25">
        <f>BO25+BO27+BO28+BO29+BO30+BO26</f>
        <v>0</v>
      </c>
      <c r="BP24" s="7">
        <f>BO24-BN24</f>
        <v>-1973.1999999999998</v>
      </c>
      <c r="BQ24" s="44">
        <f>BO24/BN24%</f>
        <v>0</v>
      </c>
      <c r="BR24" s="23">
        <f>BR25+BR27+BR28+BR29+BR30+BR26</f>
        <v>2545.9999999999995</v>
      </c>
      <c r="BS24" s="23">
        <f>BS25+BS27+BS28+BS29+BS30+BS26</f>
        <v>0</v>
      </c>
      <c r="BT24" s="7">
        <f>BS24-BR24</f>
        <v>-2545.9999999999995</v>
      </c>
      <c r="BU24" s="7">
        <f>BS24/BR24%</f>
        <v>0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57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39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0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2"/>
        <v>0</v>
      </c>
      <c r="AK25" s="7" t="e">
        <f t="shared" si="4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1"/>
        <v>0</v>
      </c>
      <c r="AU25" s="38">
        <f>SUM(AY25+BC25+BG25)</f>
        <v>0</v>
      </c>
      <c r="AV25" s="38">
        <f t="shared" si="43"/>
        <v>0</v>
      </c>
      <c r="AW25" s="43"/>
      <c r="AX25" s="52"/>
      <c r="AY25" s="53"/>
      <c r="AZ25" s="32">
        <f t="shared" si="49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57" t="s">
        <v>115</v>
      </c>
      <c r="B26" s="30">
        <f aca="true" t="shared" si="54" ref="B26:C30">J26+Z26+AT26+BJ26</f>
        <v>19.200000000000003</v>
      </c>
      <c r="C26" s="31">
        <f t="shared" si="54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1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19.200000000000003</v>
      </c>
      <c r="BK26" s="38">
        <f t="shared" si="35"/>
        <v>0</v>
      </c>
      <c r="BL26" s="38"/>
      <c r="BM26" s="43"/>
      <c r="BN26" s="52"/>
      <c r="BO26" s="53"/>
      <c r="BP26" s="32"/>
      <c r="BQ26" s="44"/>
      <c r="BR26" s="385">
        <f>16.1+3.1</f>
        <v>19.200000000000003</v>
      </c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57" t="s">
        <v>35</v>
      </c>
      <c r="B27" s="30">
        <f t="shared" si="54"/>
        <v>19936.399999999998</v>
      </c>
      <c r="C27" s="31">
        <f t="shared" si="54"/>
        <v>12856</v>
      </c>
      <c r="D27" s="55">
        <f t="shared" si="0"/>
        <v>-7080.399999999998</v>
      </c>
      <c r="E27" s="220">
        <f t="shared" si="1"/>
        <v>64.48506249874602</v>
      </c>
      <c r="F27" s="34">
        <f t="shared" si="2"/>
        <v>8878.199999999999</v>
      </c>
      <c r="G27" s="35">
        <f t="shared" si="2"/>
        <v>7536.900000000001</v>
      </c>
      <c r="H27" s="35">
        <f t="shared" si="3"/>
        <v>-1341.2999999999984</v>
      </c>
      <c r="I27" s="36">
        <f aca="true" t="shared" si="55" ref="I27:I34">G27/F27%</f>
        <v>84.8922078799757</v>
      </c>
      <c r="J27" s="37">
        <f t="shared" si="45"/>
        <v>4293.9</v>
      </c>
      <c r="K27" s="38">
        <f t="shared" si="46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2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39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0"/>
        <v>4584.299999999999</v>
      </c>
      <c r="AA27" s="38">
        <f t="shared" si="28"/>
        <v>4003.8</v>
      </c>
      <c r="AB27" s="38">
        <f t="shared" si="29"/>
        <v>-580.4999999999991</v>
      </c>
      <c r="AC27" s="38">
        <f>AA27/Z27%</f>
        <v>87.3372161507755</v>
      </c>
      <c r="AD27" s="31">
        <v>1308.1</v>
      </c>
      <c r="AE27" s="31">
        <v>705.5</v>
      </c>
      <c r="AF27" s="32">
        <f t="shared" si="30"/>
        <v>-602.5999999999999</v>
      </c>
      <c r="AG27" s="32">
        <f t="shared" si="53"/>
        <v>53.93318553627399</v>
      </c>
      <c r="AH27" s="31">
        <v>1508.1</v>
      </c>
      <c r="AI27" s="31">
        <v>656.3</v>
      </c>
      <c r="AJ27" s="32">
        <f t="shared" si="12"/>
        <v>-851.8</v>
      </c>
      <c r="AK27" s="32">
        <f t="shared" si="42"/>
        <v>43.518334327962336</v>
      </c>
      <c r="AL27" s="31">
        <v>1768.1</v>
      </c>
      <c r="AM27" s="31">
        <v>2642</v>
      </c>
      <c r="AN27" s="32">
        <f t="shared" si="13"/>
        <v>873.9000000000001</v>
      </c>
      <c r="AO27" s="32">
        <f t="shared" si="14"/>
        <v>149.425937446977</v>
      </c>
      <c r="AP27" s="40">
        <f t="shared" si="47"/>
        <v>13712.499999999998</v>
      </c>
      <c r="AQ27" s="41">
        <f t="shared" si="47"/>
        <v>12856</v>
      </c>
      <c r="AR27" s="41">
        <f t="shared" si="15"/>
        <v>-856.4999999999982</v>
      </c>
      <c r="AS27" s="42">
        <f aca="true" t="shared" si="56" ref="AS27:AS34">AQ27/AP27%</f>
        <v>93.75387420237011</v>
      </c>
      <c r="AT27" s="37">
        <f t="shared" si="51"/>
        <v>4834.299999999999</v>
      </c>
      <c r="AU27" s="38">
        <f>SUM(AY27+BC27+BG27)</f>
        <v>5319.1</v>
      </c>
      <c r="AV27" s="38">
        <f t="shared" si="43"/>
        <v>484.8000000000011</v>
      </c>
      <c r="AW27" s="43">
        <f>AU27/AT27%</f>
        <v>110.02833915975428</v>
      </c>
      <c r="AX27" s="30">
        <v>1238.1</v>
      </c>
      <c r="AY27" s="31">
        <v>1222.3</v>
      </c>
      <c r="AZ27" s="32">
        <f t="shared" si="49"/>
        <v>-15.799999999999955</v>
      </c>
      <c r="BA27" s="44">
        <f t="shared" si="44"/>
        <v>98.72385106211131</v>
      </c>
      <c r="BB27" s="30">
        <v>1438.1</v>
      </c>
      <c r="BC27" s="31">
        <v>2081.8</v>
      </c>
      <c r="BD27" s="32">
        <f>BC27-BB27</f>
        <v>643.7000000000003</v>
      </c>
      <c r="BE27" s="28">
        <f>BC27/BB27%</f>
        <v>144.76044781308673</v>
      </c>
      <c r="BF27" s="39">
        <v>2158.1</v>
      </c>
      <c r="BG27" s="31">
        <v>2015</v>
      </c>
      <c r="BH27" s="32">
        <f>BG27-BF27</f>
        <v>-143.0999999999999</v>
      </c>
      <c r="BI27" s="28">
        <f>BG27/BF27%</f>
        <v>93.36916732310829</v>
      </c>
      <c r="BJ27" s="45">
        <f t="shared" si="34"/>
        <v>6223.9</v>
      </c>
      <c r="BK27" s="38">
        <f t="shared" si="35"/>
        <v>0</v>
      </c>
      <c r="BL27" s="38">
        <f t="shared" si="36"/>
        <v>-6223.9</v>
      </c>
      <c r="BM27" s="43">
        <f>BK27/BJ27%</f>
        <v>0</v>
      </c>
      <c r="BN27" s="30">
        <v>1346.7</v>
      </c>
      <c r="BO27" s="31"/>
      <c r="BP27" s="7">
        <f>BO27-BN27</f>
        <v>-1346.7</v>
      </c>
      <c r="BQ27" s="44">
        <f>BO27/BN27%</f>
        <v>0</v>
      </c>
      <c r="BR27" s="31">
        <v>1900.1</v>
      </c>
      <c r="BS27" s="31"/>
      <c r="BT27" s="32">
        <f>BS27-BR27</f>
        <v>-1900.1</v>
      </c>
      <c r="BU27" s="32">
        <f>BS27/BR27%</f>
        <v>0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53" t="s">
        <v>36</v>
      </c>
      <c r="B28" s="30">
        <f t="shared" si="54"/>
        <v>7283.299999999999</v>
      </c>
      <c r="C28" s="31">
        <f t="shared" si="54"/>
        <v>4363.7</v>
      </c>
      <c r="D28" s="32">
        <f t="shared" si="0"/>
        <v>-2919.5999999999995</v>
      </c>
      <c r="E28" s="220">
        <f t="shared" si="1"/>
        <v>59.913775349086265</v>
      </c>
      <c r="F28" s="34">
        <f t="shared" si="2"/>
        <v>3641.3999999999996</v>
      </c>
      <c r="G28" s="35">
        <f t="shared" si="2"/>
        <v>2825.2</v>
      </c>
      <c r="H28" s="35">
        <f t="shared" si="3"/>
        <v>-816.1999999999998</v>
      </c>
      <c r="I28" s="36">
        <f t="shared" si="55"/>
        <v>77.58554402153018</v>
      </c>
      <c r="J28" s="37">
        <f t="shared" si="45"/>
        <v>1820.6999999999998</v>
      </c>
      <c r="K28" s="38">
        <f t="shared" si="46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2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39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0"/>
        <v>1820.6999999999998</v>
      </c>
      <c r="AA28" s="38">
        <f t="shared" si="28"/>
        <v>1456.8</v>
      </c>
      <c r="AB28" s="38">
        <f t="shared" si="29"/>
        <v>-363.89999999999986</v>
      </c>
      <c r="AC28" s="38">
        <f>AA28/Z28%</f>
        <v>80.01318174328556</v>
      </c>
      <c r="AD28" s="58">
        <v>606.9</v>
      </c>
      <c r="AE28" s="58">
        <v>488.3</v>
      </c>
      <c r="AF28" s="32">
        <f t="shared" si="30"/>
        <v>-118.59999999999997</v>
      </c>
      <c r="AG28" s="32">
        <f t="shared" si="53"/>
        <v>80.45806557917285</v>
      </c>
      <c r="AH28" s="58">
        <v>606.9</v>
      </c>
      <c r="AI28" s="58">
        <v>488.8</v>
      </c>
      <c r="AJ28" s="32">
        <f t="shared" si="12"/>
        <v>-118.09999999999997</v>
      </c>
      <c r="AK28" s="32">
        <f t="shared" si="42"/>
        <v>80.54045147470754</v>
      </c>
      <c r="AL28" s="58">
        <v>606.9</v>
      </c>
      <c r="AM28" s="58">
        <v>479.7</v>
      </c>
      <c r="AN28" s="32">
        <f t="shared" si="13"/>
        <v>-127.19999999999999</v>
      </c>
      <c r="AO28" s="32">
        <f t="shared" si="14"/>
        <v>79.04102817597627</v>
      </c>
      <c r="AP28" s="40">
        <f t="shared" si="47"/>
        <v>5462.099999999999</v>
      </c>
      <c r="AQ28" s="41">
        <f t="shared" si="47"/>
        <v>4363.7</v>
      </c>
      <c r="AR28" s="41">
        <f t="shared" si="15"/>
        <v>-1098.3999999999996</v>
      </c>
      <c r="AS28" s="42">
        <f t="shared" si="56"/>
        <v>79.8905182988228</v>
      </c>
      <c r="AT28" s="37">
        <f t="shared" si="51"/>
        <v>1820.6999999999998</v>
      </c>
      <c r="AU28" s="38">
        <f>SUM(AY28+BC28+BG28)</f>
        <v>1538.5</v>
      </c>
      <c r="AV28" s="38">
        <f t="shared" si="43"/>
        <v>-282.1999999999998</v>
      </c>
      <c r="AW28" s="43">
        <f>AU28/AT28%</f>
        <v>84.50046685340804</v>
      </c>
      <c r="AX28" s="59">
        <v>606.9</v>
      </c>
      <c r="AY28" s="58">
        <v>549.3</v>
      </c>
      <c r="AZ28" s="32">
        <f t="shared" si="49"/>
        <v>-57.60000000000002</v>
      </c>
      <c r="BA28" s="44">
        <f t="shared" si="44"/>
        <v>90.50914483440434</v>
      </c>
      <c r="BB28" s="59">
        <v>606.9</v>
      </c>
      <c r="BC28" s="58">
        <v>494.2</v>
      </c>
      <c r="BD28" s="32">
        <f>BC28-BB28</f>
        <v>-112.69999999999999</v>
      </c>
      <c r="BE28" s="28">
        <f>BC28/BB28%</f>
        <v>81.43021914648212</v>
      </c>
      <c r="BF28" s="57">
        <v>606.9</v>
      </c>
      <c r="BG28" s="58">
        <v>495</v>
      </c>
      <c r="BH28" s="32">
        <f>BG28-BF28</f>
        <v>-111.89999999999998</v>
      </c>
      <c r="BI28" s="28">
        <f>BG28/BF28%</f>
        <v>81.56203657933762</v>
      </c>
      <c r="BJ28" s="45">
        <f t="shared" si="34"/>
        <v>1821.2</v>
      </c>
      <c r="BK28" s="38">
        <f t="shared" si="35"/>
        <v>0</v>
      </c>
      <c r="BL28" s="38">
        <f t="shared" si="36"/>
        <v>-1821.2</v>
      </c>
      <c r="BM28" s="43">
        <f>BK28/BJ28%</f>
        <v>0</v>
      </c>
      <c r="BN28" s="59">
        <v>606.9</v>
      </c>
      <c r="BO28" s="58"/>
      <c r="BP28" s="7">
        <f>BO28-BN28</f>
        <v>-606.9</v>
      </c>
      <c r="BQ28" s="44">
        <f>BO28/BN28%</f>
        <v>0</v>
      </c>
      <c r="BR28" s="58">
        <v>607.1</v>
      </c>
      <c r="BS28" s="58"/>
      <c r="BT28" s="32">
        <f>BS28-BR28</f>
        <v>-607.1</v>
      </c>
      <c r="BU28" s="32">
        <f>BS28/BR28%</f>
        <v>0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53" t="s">
        <v>37</v>
      </c>
      <c r="B29" s="30">
        <f t="shared" si="54"/>
        <v>115</v>
      </c>
      <c r="C29" s="31">
        <f t="shared" si="54"/>
        <v>80.6</v>
      </c>
      <c r="D29" s="33">
        <f t="shared" si="0"/>
        <v>-34.400000000000006</v>
      </c>
      <c r="E29" s="220">
        <f t="shared" si="1"/>
        <v>70.08695652173913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5"/>
        <v>115</v>
      </c>
      <c r="K29" s="38">
        <f t="shared" si="46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2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0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115</v>
      </c>
      <c r="AQ29" s="41">
        <f t="shared" si="47"/>
        <v>80.6</v>
      </c>
      <c r="AR29" s="41">
        <f t="shared" si="15"/>
        <v>-34.400000000000006</v>
      </c>
      <c r="AS29" s="42">
        <f t="shared" si="56"/>
        <v>70.08695652173913</v>
      </c>
      <c r="AT29" s="37">
        <f t="shared" si="51"/>
        <v>0</v>
      </c>
      <c r="AU29" s="38">
        <f>SUM(AY29+BC29+BG29)</f>
        <v>29</v>
      </c>
      <c r="AV29" s="38">
        <f t="shared" si="43"/>
        <v>29</v>
      </c>
      <c r="AW29" s="43"/>
      <c r="AX29" s="59"/>
      <c r="AY29" s="58"/>
      <c r="AZ29" s="32">
        <f t="shared" si="49"/>
        <v>0</v>
      </c>
      <c r="BA29" s="44"/>
      <c r="BB29" s="59"/>
      <c r="BC29" s="58">
        <v>6.3</v>
      </c>
      <c r="BD29" s="32">
        <f>BC29-BB29</f>
        <v>6.3</v>
      </c>
      <c r="BE29" s="28"/>
      <c r="BF29" s="57"/>
      <c r="BG29" s="58">
        <v>22.7</v>
      </c>
      <c r="BH29" s="32">
        <f>BG29-BF29</f>
        <v>22.7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58" t="s">
        <v>116</v>
      </c>
      <c r="B30" s="30">
        <f t="shared" si="54"/>
        <v>234.8</v>
      </c>
      <c r="C30" s="31">
        <f t="shared" si="54"/>
        <v>317.6</v>
      </c>
      <c r="D30" s="33">
        <f t="shared" si="0"/>
        <v>82.80000000000001</v>
      </c>
      <c r="E30" s="220">
        <f t="shared" si="1"/>
        <v>135.2640545144804</v>
      </c>
      <c r="F30" s="34">
        <f t="shared" si="2"/>
        <v>117.2</v>
      </c>
      <c r="G30" s="35">
        <f t="shared" si="2"/>
        <v>180.79999999999998</v>
      </c>
      <c r="H30" s="35">
        <f t="shared" si="3"/>
        <v>63.59999999999998</v>
      </c>
      <c r="I30" s="36">
        <f t="shared" si="55"/>
        <v>154.26621160409556</v>
      </c>
      <c r="J30" s="259">
        <f t="shared" si="45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2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39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0"/>
        <v>58.7</v>
      </c>
      <c r="AA30" s="38">
        <f t="shared" si="28"/>
        <v>93.1</v>
      </c>
      <c r="AB30" s="38">
        <f t="shared" si="29"/>
        <v>34.39999999999999</v>
      </c>
      <c r="AC30" s="38">
        <f aca="true" t="shared" si="57" ref="AC30:AC37">AA30/Z30%</f>
        <v>158.60306643952296</v>
      </c>
      <c r="AD30" s="58">
        <v>19.5</v>
      </c>
      <c r="AE30" s="58">
        <v>21</v>
      </c>
      <c r="AF30" s="32">
        <f t="shared" si="30"/>
        <v>1.5</v>
      </c>
      <c r="AG30" s="32">
        <f t="shared" si="53"/>
        <v>107.6923076923077</v>
      </c>
      <c r="AH30" s="58">
        <v>19.6</v>
      </c>
      <c r="AI30" s="58">
        <v>52.7</v>
      </c>
      <c r="AJ30" s="32">
        <f t="shared" si="12"/>
        <v>33.1</v>
      </c>
      <c r="AK30" s="32">
        <f t="shared" si="42"/>
        <v>268.8775510204082</v>
      </c>
      <c r="AL30" s="58">
        <v>19.6</v>
      </c>
      <c r="AM30" s="58">
        <v>19.4</v>
      </c>
      <c r="AN30" s="32">
        <f t="shared" si="13"/>
        <v>-0.20000000000000284</v>
      </c>
      <c r="AO30" s="32">
        <f t="shared" si="14"/>
        <v>98.97959183673468</v>
      </c>
      <c r="AP30" s="40">
        <f t="shared" si="47"/>
        <v>176</v>
      </c>
      <c r="AQ30" s="41">
        <f t="shared" si="47"/>
        <v>317.6</v>
      </c>
      <c r="AR30" s="41"/>
      <c r="AS30" s="42"/>
      <c r="AT30" s="259">
        <f t="shared" si="51"/>
        <v>58.800000000000004</v>
      </c>
      <c r="AU30" s="38">
        <f>AY30+BC30+BG30</f>
        <v>136.8</v>
      </c>
      <c r="AV30" s="38">
        <f t="shared" si="43"/>
        <v>78</v>
      </c>
      <c r="AW30" s="43" t="s">
        <v>27</v>
      </c>
      <c r="AX30" s="59">
        <v>19.6</v>
      </c>
      <c r="AY30" s="58">
        <v>45.9</v>
      </c>
      <c r="AZ30" s="32">
        <f>AY30-AX30</f>
        <v>26.299999999999997</v>
      </c>
      <c r="BA30" s="44">
        <f>AY30/AX30%</f>
        <v>234.18367346938774</v>
      </c>
      <c r="BB30" s="59">
        <v>19.6</v>
      </c>
      <c r="BC30" s="58">
        <v>58.5</v>
      </c>
      <c r="BD30" s="32">
        <f>BC30-BB30</f>
        <v>38.9</v>
      </c>
      <c r="BE30" s="28" t="s">
        <v>27</v>
      </c>
      <c r="BF30" s="57">
        <v>19.6</v>
      </c>
      <c r="BG30" s="57">
        <v>32.4</v>
      </c>
      <c r="BH30" s="32">
        <f>BG30-BF30</f>
        <v>12.799999999999997</v>
      </c>
      <c r="BI30" s="28">
        <f>BG30/BF30%</f>
        <v>165.30612244897958</v>
      </c>
      <c r="BJ30" s="45">
        <f t="shared" si="34"/>
        <v>58.800000000000004</v>
      </c>
      <c r="BK30" s="38">
        <f t="shared" si="35"/>
        <v>0</v>
      </c>
      <c r="BL30" s="38"/>
      <c r="BM30" s="43"/>
      <c r="BN30" s="59">
        <v>19.6</v>
      </c>
      <c r="BO30" s="57"/>
      <c r="BP30" s="7"/>
      <c r="BQ30" s="44"/>
      <c r="BR30" s="58">
        <v>19.6</v>
      </c>
      <c r="BS30" s="58"/>
      <c r="BT30" s="32"/>
      <c r="BU30" s="32">
        <f>BS30/BR30%</f>
        <v>0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38</v>
      </c>
      <c r="B31" s="60">
        <f>B32</f>
        <v>2033.4</v>
      </c>
      <c r="C31" s="61">
        <f>C32</f>
        <v>1728.7</v>
      </c>
      <c r="D31" s="8">
        <f t="shared" si="0"/>
        <v>-304.70000000000005</v>
      </c>
      <c r="E31" s="20">
        <f t="shared" si="1"/>
        <v>85.01524540179011</v>
      </c>
      <c r="F31" s="9">
        <f t="shared" si="2"/>
        <v>1003.7</v>
      </c>
      <c r="G31" s="10">
        <f t="shared" si="2"/>
        <v>1342</v>
      </c>
      <c r="H31" s="10">
        <f t="shared" si="3"/>
        <v>338.29999999999995</v>
      </c>
      <c r="I31" s="11">
        <f t="shared" si="55"/>
        <v>133.70529042542591</v>
      </c>
      <c r="J31" s="24">
        <f t="shared" si="45"/>
        <v>539.8</v>
      </c>
      <c r="K31" s="488">
        <f t="shared" si="46"/>
        <v>821.5000000000001</v>
      </c>
      <c r="L31" s="488">
        <f t="shared" si="5"/>
        <v>281.70000000000016</v>
      </c>
      <c r="M31" s="368" t="s">
        <v>117</v>
      </c>
      <c r="N31" s="62">
        <f>N32</f>
        <v>33.9</v>
      </c>
      <c r="O31" s="61">
        <f>O32</f>
        <v>26.7</v>
      </c>
      <c r="P31" s="7">
        <f t="shared" si="52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39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117</v>
      </c>
      <c r="Z31" s="488">
        <f t="shared" si="40"/>
        <v>463.90000000000003</v>
      </c>
      <c r="AA31" s="488">
        <f t="shared" si="28"/>
        <v>520.5</v>
      </c>
      <c r="AB31" s="488">
        <f t="shared" si="29"/>
        <v>56.599999999999966</v>
      </c>
      <c r="AC31" s="488">
        <f t="shared" si="57"/>
        <v>112.2009053675361</v>
      </c>
      <c r="AD31" s="61">
        <f>AD32</f>
        <v>452.5</v>
      </c>
      <c r="AE31" s="61">
        <f>AE32</f>
        <v>136</v>
      </c>
      <c r="AF31" s="32">
        <f t="shared" si="30"/>
        <v>-316.5</v>
      </c>
      <c r="AG31" s="32">
        <f t="shared" si="53"/>
        <v>30.05524861878453</v>
      </c>
      <c r="AH31" s="61">
        <f>AH32</f>
        <v>4.6</v>
      </c>
      <c r="AI31" s="61">
        <f>AI32</f>
        <v>367</v>
      </c>
      <c r="AJ31" s="32">
        <f t="shared" si="12"/>
        <v>362.4</v>
      </c>
      <c r="AK31" s="7" t="s">
        <v>27</v>
      </c>
      <c r="AL31" s="61">
        <f>AL32</f>
        <v>6.8</v>
      </c>
      <c r="AM31" s="61">
        <f>AM32</f>
        <v>17.5</v>
      </c>
      <c r="AN31" s="7">
        <f t="shared" si="13"/>
        <v>10.7</v>
      </c>
      <c r="AO31" s="32">
        <f t="shared" si="14"/>
        <v>257.35294117647055</v>
      </c>
      <c r="AP31" s="14">
        <f t="shared" si="47"/>
        <v>1579.3</v>
      </c>
      <c r="AQ31" s="15">
        <f t="shared" si="47"/>
        <v>1728.7</v>
      </c>
      <c r="AR31" s="15">
        <f t="shared" si="15"/>
        <v>149.4000000000001</v>
      </c>
      <c r="AS31" s="16">
        <f t="shared" si="56"/>
        <v>109.45988729183816</v>
      </c>
      <c r="AT31" s="24">
        <f t="shared" si="51"/>
        <v>575.5999999999999</v>
      </c>
      <c r="AU31" s="488">
        <f aca="true" t="shared" si="58" ref="AU31:AU39">SUM(AY31+BC31+BG31)</f>
        <v>386.70000000000005</v>
      </c>
      <c r="AV31" s="488">
        <f t="shared" si="43"/>
        <v>-188.89999999999986</v>
      </c>
      <c r="AW31" s="489">
        <f aca="true" t="shared" si="59" ref="AW31:AW36">AU31/AT31%</f>
        <v>67.18207088255734</v>
      </c>
      <c r="AX31" s="60">
        <f>AX32</f>
        <v>557.4</v>
      </c>
      <c r="AY31" s="61">
        <f>AY32</f>
        <v>84.8</v>
      </c>
      <c r="AZ31" s="7">
        <f t="shared" si="49"/>
        <v>-472.59999999999997</v>
      </c>
      <c r="BA31" s="19">
        <f aca="true" t="shared" si="60" ref="BA31:BA38">AY31/AX31%</f>
        <v>15.213491209185504</v>
      </c>
      <c r="BB31" s="60">
        <f>BB32</f>
        <v>5.9</v>
      </c>
      <c r="BC31" s="61">
        <f>BC32</f>
        <v>300.8</v>
      </c>
      <c r="BD31" s="7">
        <f aca="true" t="shared" si="61" ref="BD31:BD37">BC31-BB31</f>
        <v>294.90000000000003</v>
      </c>
      <c r="BE31" s="18" t="s">
        <v>27</v>
      </c>
      <c r="BF31" s="260">
        <f>BF32</f>
        <v>12.3</v>
      </c>
      <c r="BG31" s="61">
        <f>BG32</f>
        <v>1.1</v>
      </c>
      <c r="BH31" s="61">
        <f>BH32</f>
        <v>-11.200000000000001</v>
      </c>
      <c r="BI31" s="28">
        <f>BG31/BF31%</f>
        <v>8.94308943089431</v>
      </c>
      <c r="BJ31" s="26">
        <f t="shared" si="34"/>
        <v>454.1</v>
      </c>
      <c r="BK31" s="488">
        <f t="shared" si="35"/>
        <v>0</v>
      </c>
      <c r="BL31" s="488">
        <f t="shared" si="36"/>
        <v>-454.1</v>
      </c>
      <c r="BM31" s="489"/>
      <c r="BN31" s="60">
        <f>BN32</f>
        <v>452.8</v>
      </c>
      <c r="BO31" s="60">
        <f>BO32</f>
        <v>0</v>
      </c>
      <c r="BP31" s="7">
        <f>BO31-BN31</f>
        <v>-452.8</v>
      </c>
      <c r="BQ31" s="44"/>
      <c r="BR31" s="61">
        <f>BR32</f>
        <v>1.2</v>
      </c>
      <c r="BS31" s="61">
        <f>BS32</f>
        <v>0</v>
      </c>
      <c r="BT31" s="61">
        <f>BT32</f>
        <v>-1.2</v>
      </c>
      <c r="BU31" s="32"/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39</v>
      </c>
      <c r="B32" s="30">
        <f>J32+Z32+AT32+BJ32</f>
        <v>2033.4</v>
      </c>
      <c r="C32" s="31">
        <f>K32+AA32+AU32+BK32</f>
        <v>1728.7</v>
      </c>
      <c r="D32" s="33">
        <f t="shared" si="0"/>
        <v>-304.70000000000005</v>
      </c>
      <c r="E32" s="220">
        <f t="shared" si="1"/>
        <v>85.01524540179011</v>
      </c>
      <c r="F32" s="34">
        <f t="shared" si="2"/>
        <v>1003.7</v>
      </c>
      <c r="G32" s="35">
        <f t="shared" si="2"/>
        <v>1342</v>
      </c>
      <c r="H32" s="35">
        <f t="shared" si="3"/>
        <v>338.29999999999995</v>
      </c>
      <c r="I32" s="36">
        <f t="shared" si="55"/>
        <v>133.70529042542591</v>
      </c>
      <c r="J32" s="37">
        <f t="shared" si="45"/>
        <v>539.8</v>
      </c>
      <c r="K32" s="38">
        <f t="shared" si="46"/>
        <v>821.5000000000001</v>
      </c>
      <c r="L32" s="38">
        <f t="shared" si="5"/>
        <v>281.70000000000016</v>
      </c>
      <c r="M32" s="368" t="s">
        <v>117</v>
      </c>
      <c r="N32" s="57">
        <v>33.9</v>
      </c>
      <c r="O32" s="58">
        <v>26.7</v>
      </c>
      <c r="P32" s="32">
        <f t="shared" si="52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39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117</v>
      </c>
      <c r="Z32" s="38">
        <f t="shared" si="40"/>
        <v>463.90000000000003</v>
      </c>
      <c r="AA32" s="38">
        <f t="shared" si="28"/>
        <v>520.5</v>
      </c>
      <c r="AB32" s="38">
        <f t="shared" si="29"/>
        <v>56.599999999999966</v>
      </c>
      <c r="AC32" s="38">
        <f t="shared" si="57"/>
        <v>112.2009053675361</v>
      </c>
      <c r="AD32" s="58">
        <v>452.5</v>
      </c>
      <c r="AE32" s="58">
        <v>136</v>
      </c>
      <c r="AF32" s="32">
        <f t="shared" si="30"/>
        <v>-316.5</v>
      </c>
      <c r="AG32" s="32">
        <f t="shared" si="53"/>
        <v>30.05524861878453</v>
      </c>
      <c r="AH32" s="58">
        <v>4.6</v>
      </c>
      <c r="AI32" s="58">
        <v>367</v>
      </c>
      <c r="AJ32" s="32">
        <f t="shared" si="12"/>
        <v>362.4</v>
      </c>
      <c r="AK32" s="32" t="s">
        <v>27</v>
      </c>
      <c r="AL32" s="58">
        <v>6.8</v>
      </c>
      <c r="AM32" s="58">
        <v>17.5</v>
      </c>
      <c r="AN32" s="32">
        <f t="shared" si="13"/>
        <v>10.7</v>
      </c>
      <c r="AO32" s="32">
        <f t="shared" si="14"/>
        <v>257.35294117647055</v>
      </c>
      <c r="AP32" s="40">
        <f t="shared" si="47"/>
        <v>1579.3</v>
      </c>
      <c r="AQ32" s="41">
        <f t="shared" si="47"/>
        <v>1728.7</v>
      </c>
      <c r="AR32" s="41">
        <f t="shared" si="15"/>
        <v>149.4000000000001</v>
      </c>
      <c r="AS32" s="42">
        <f t="shared" si="56"/>
        <v>109.45988729183816</v>
      </c>
      <c r="AT32" s="37">
        <f t="shared" si="51"/>
        <v>575.5999999999999</v>
      </c>
      <c r="AU32" s="38">
        <f t="shared" si="58"/>
        <v>386.70000000000005</v>
      </c>
      <c r="AV32" s="38">
        <f t="shared" si="43"/>
        <v>-188.89999999999986</v>
      </c>
      <c r="AW32" s="43">
        <f t="shared" si="59"/>
        <v>67.18207088255734</v>
      </c>
      <c r="AX32" s="59">
        <v>557.4</v>
      </c>
      <c r="AY32" s="58">
        <v>84.8</v>
      </c>
      <c r="AZ32" s="32">
        <f t="shared" si="49"/>
        <v>-472.59999999999997</v>
      </c>
      <c r="BA32" s="44">
        <f t="shared" si="60"/>
        <v>15.213491209185504</v>
      </c>
      <c r="BB32" s="59">
        <v>5.9</v>
      </c>
      <c r="BC32" s="58">
        <v>300.8</v>
      </c>
      <c r="BD32" s="32">
        <f t="shared" si="61"/>
        <v>294.90000000000003</v>
      </c>
      <c r="BE32" s="28" t="s">
        <v>27</v>
      </c>
      <c r="BF32" s="57">
        <v>12.3</v>
      </c>
      <c r="BG32" s="58">
        <v>1.1</v>
      </c>
      <c r="BH32" s="32">
        <f aca="true" t="shared" si="62" ref="BH32:BH37">BG32-BF32</f>
        <v>-11.200000000000001</v>
      </c>
      <c r="BI32" s="28">
        <f>BG32/BF32%</f>
        <v>8.94308943089431</v>
      </c>
      <c r="BJ32" s="45">
        <f>BN32+BR32+BV32</f>
        <v>454.1</v>
      </c>
      <c r="BK32" s="38">
        <f>SUM(BO32+BS32+BW32)</f>
        <v>0</v>
      </c>
      <c r="BL32" s="38">
        <f t="shared" si="36"/>
        <v>-454.1</v>
      </c>
      <c r="BM32" s="43"/>
      <c r="BN32" s="59">
        <v>452.8</v>
      </c>
      <c r="BO32" s="58"/>
      <c r="BP32" s="7">
        <f>BO32-BN32</f>
        <v>-452.8</v>
      </c>
      <c r="BQ32" s="44"/>
      <c r="BR32" s="58">
        <v>1.2</v>
      </c>
      <c r="BS32" s="58"/>
      <c r="BT32" s="32">
        <f aca="true" t="shared" si="63" ref="BT32:BT38">BS32-BR32</f>
        <v>-1.2</v>
      </c>
      <c r="BU32" s="32"/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40</v>
      </c>
      <c r="B33" s="60">
        <f>B34</f>
        <v>434.8</v>
      </c>
      <c r="C33" s="62">
        <f>C34</f>
        <v>551.6999999999999</v>
      </c>
      <c r="D33" s="8">
        <f t="shared" si="0"/>
        <v>116.89999999999992</v>
      </c>
      <c r="E33" s="20">
        <f t="shared" si="1"/>
        <v>126.88592456301747</v>
      </c>
      <c r="F33" s="9">
        <f t="shared" si="2"/>
        <v>420</v>
      </c>
      <c r="G33" s="10">
        <f t="shared" si="2"/>
        <v>515.1999999999999</v>
      </c>
      <c r="H33" s="10">
        <f t="shared" si="3"/>
        <v>95.19999999999993</v>
      </c>
      <c r="I33" s="11">
        <f t="shared" si="55"/>
        <v>122.66666666666664</v>
      </c>
      <c r="J33" s="24">
        <f t="shared" si="45"/>
        <v>0</v>
      </c>
      <c r="K33" s="488">
        <f t="shared" si="46"/>
        <v>444.9</v>
      </c>
      <c r="L33" s="488">
        <f t="shared" si="5"/>
        <v>444.9</v>
      </c>
      <c r="M33" s="369"/>
      <c r="N33" s="62">
        <f>N34</f>
        <v>0</v>
      </c>
      <c r="O33" s="62">
        <f>O34</f>
        <v>9.6</v>
      </c>
      <c r="P33" s="32">
        <f t="shared" si="52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88">
        <f t="shared" si="40"/>
        <v>420</v>
      </c>
      <c r="AA33" s="488">
        <f t="shared" si="28"/>
        <v>70.3</v>
      </c>
      <c r="AB33" s="488">
        <f t="shared" si="29"/>
        <v>-349.7</v>
      </c>
      <c r="AC33" s="38">
        <f t="shared" si="57"/>
        <v>16.738095238095237</v>
      </c>
      <c r="AD33" s="62">
        <f>AD34</f>
        <v>419</v>
      </c>
      <c r="AE33" s="62">
        <f>AE34</f>
        <v>47.8</v>
      </c>
      <c r="AF33" s="7">
        <f t="shared" si="30"/>
        <v>-371.2</v>
      </c>
      <c r="AG33" s="32">
        <f t="shared" si="53"/>
        <v>11.408114558472551</v>
      </c>
      <c r="AH33" s="62">
        <f>AH34</f>
        <v>1</v>
      </c>
      <c r="AI33" s="62">
        <f>AI34</f>
        <v>8.1</v>
      </c>
      <c r="AJ33" s="7">
        <f t="shared" si="12"/>
        <v>7.1</v>
      </c>
      <c r="AK33" s="7"/>
      <c r="AL33" s="61">
        <f>AL34</f>
        <v>0</v>
      </c>
      <c r="AM33" s="61">
        <f>AM34</f>
        <v>14.4</v>
      </c>
      <c r="AN33" s="7">
        <f t="shared" si="13"/>
        <v>14.4</v>
      </c>
      <c r="AO33" s="7"/>
      <c r="AP33" s="14">
        <f>J33+Z33+AT33</f>
        <v>434.8</v>
      </c>
      <c r="AQ33" s="63">
        <f>AQ34</f>
        <v>551.6999999999999</v>
      </c>
      <c r="AR33" s="15">
        <f t="shared" si="15"/>
        <v>116.89999999999992</v>
      </c>
      <c r="AS33" s="16">
        <f t="shared" si="56"/>
        <v>126.88592456301747</v>
      </c>
      <c r="AT33" s="24">
        <f t="shared" si="51"/>
        <v>14.8</v>
      </c>
      <c r="AU33" s="488">
        <f t="shared" si="58"/>
        <v>36.5</v>
      </c>
      <c r="AV33" s="488">
        <f t="shared" si="43"/>
        <v>21.7</v>
      </c>
      <c r="AW33" s="489" t="s">
        <v>27</v>
      </c>
      <c r="AX33" s="60">
        <f>AX34</f>
        <v>14.8</v>
      </c>
      <c r="AY33" s="62">
        <f>AY34</f>
        <v>17</v>
      </c>
      <c r="AZ33" s="7">
        <f t="shared" si="49"/>
        <v>2.1999999999999993</v>
      </c>
      <c r="BA33" s="19">
        <f t="shared" si="60"/>
        <v>114.86486486486486</v>
      </c>
      <c r="BB33" s="60">
        <f>BB34</f>
        <v>0</v>
      </c>
      <c r="BC33" s="62">
        <f>BC34</f>
        <v>10</v>
      </c>
      <c r="BD33" s="32">
        <f t="shared" si="61"/>
        <v>10</v>
      </c>
      <c r="BE33" s="28"/>
      <c r="BF33" s="62">
        <f>BF34</f>
        <v>0</v>
      </c>
      <c r="BG33" s="62">
        <f>BG34</f>
        <v>9.5</v>
      </c>
      <c r="BH33" s="32">
        <f t="shared" si="62"/>
        <v>9.5</v>
      </c>
      <c r="BI33" s="28"/>
      <c r="BJ33" s="26">
        <f t="shared" si="34"/>
        <v>0</v>
      </c>
      <c r="BK33" s="488">
        <f t="shared" si="35"/>
        <v>0</v>
      </c>
      <c r="BL33" s="488">
        <f t="shared" si="36"/>
        <v>0</v>
      </c>
      <c r="BM33" s="489"/>
      <c r="BN33" s="62">
        <f>BN34</f>
        <v>0</v>
      </c>
      <c r="BO33" s="62">
        <f>BO34</f>
        <v>0</v>
      </c>
      <c r="BP33" s="7">
        <f aca="true" t="shared" si="64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3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5" ref="BX33:BX39">BW33-BV33</f>
        <v>0</v>
      </c>
      <c r="BY33" s="7"/>
      <c r="CE33" s="62">
        <f>CE34</f>
        <v>0</v>
      </c>
    </row>
    <row r="34" spans="1:83" ht="40.5" customHeight="1">
      <c r="A34" s="64" t="s">
        <v>41</v>
      </c>
      <c r="B34" s="30">
        <f>J34+Z34+AT34+BJ34</f>
        <v>434.8</v>
      </c>
      <c r="C34" s="31">
        <f>K34+AA34+AU34+BK34</f>
        <v>551.6999999999999</v>
      </c>
      <c r="D34" s="33">
        <f t="shared" si="0"/>
        <v>116.89999999999992</v>
      </c>
      <c r="E34" s="220">
        <f t="shared" si="1"/>
        <v>126.88592456301747</v>
      </c>
      <c r="F34" s="34">
        <f t="shared" si="2"/>
        <v>420</v>
      </c>
      <c r="G34" s="35">
        <f t="shared" si="2"/>
        <v>515.1999999999999</v>
      </c>
      <c r="H34" s="35">
        <f t="shared" si="3"/>
        <v>95.19999999999993</v>
      </c>
      <c r="I34" s="36">
        <f t="shared" si="55"/>
        <v>122.66666666666664</v>
      </c>
      <c r="J34" s="37">
        <f t="shared" si="45"/>
        <v>0</v>
      </c>
      <c r="K34" s="38">
        <f t="shared" si="46"/>
        <v>444.9</v>
      </c>
      <c r="L34" s="38">
        <f t="shared" si="5"/>
        <v>444.9</v>
      </c>
      <c r="M34" s="369"/>
      <c r="N34" s="57"/>
      <c r="O34" s="58">
        <v>9.6</v>
      </c>
      <c r="P34" s="32">
        <f t="shared" si="52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0"/>
        <v>420</v>
      </c>
      <c r="AA34" s="38">
        <f t="shared" si="28"/>
        <v>70.3</v>
      </c>
      <c r="AB34" s="38">
        <f t="shared" si="29"/>
        <v>-349.7</v>
      </c>
      <c r="AC34" s="38">
        <f t="shared" si="57"/>
        <v>16.738095238095237</v>
      </c>
      <c r="AD34" s="58">
        <v>419</v>
      </c>
      <c r="AE34" s="58">
        <v>47.8</v>
      </c>
      <c r="AF34" s="32">
        <f t="shared" si="30"/>
        <v>-371.2</v>
      </c>
      <c r="AG34" s="32">
        <f t="shared" si="53"/>
        <v>11.408114558472551</v>
      </c>
      <c r="AH34" s="58">
        <v>1</v>
      </c>
      <c r="AI34" s="58">
        <v>8.1</v>
      </c>
      <c r="AJ34" s="32">
        <f t="shared" si="12"/>
        <v>7.1</v>
      </c>
      <c r="AK34" s="7"/>
      <c r="AL34" s="58"/>
      <c r="AM34" s="58">
        <v>14.4</v>
      </c>
      <c r="AN34" s="32">
        <f t="shared" si="13"/>
        <v>14.4</v>
      </c>
      <c r="AO34" s="32"/>
      <c r="AP34" s="14">
        <f>J34+Z34+AT34</f>
        <v>434.8</v>
      </c>
      <c r="AQ34" s="41">
        <f aca="true" t="shared" si="66" ref="AP34:AQ39">K34+AA34+AU34</f>
        <v>551.6999999999999</v>
      </c>
      <c r="AR34" s="41">
        <f t="shared" si="15"/>
        <v>116.89999999999992</v>
      </c>
      <c r="AS34" s="42">
        <f t="shared" si="56"/>
        <v>126.88592456301747</v>
      </c>
      <c r="AT34" s="37">
        <f t="shared" si="51"/>
        <v>14.8</v>
      </c>
      <c r="AU34" s="38">
        <f t="shared" si="58"/>
        <v>36.5</v>
      </c>
      <c r="AV34" s="38">
        <f t="shared" si="43"/>
        <v>21.7</v>
      </c>
      <c r="AW34" s="43" t="s">
        <v>27</v>
      </c>
      <c r="AX34" s="59">
        <v>14.8</v>
      </c>
      <c r="AY34" s="58">
        <v>17</v>
      </c>
      <c r="AZ34" s="32">
        <f t="shared" si="49"/>
        <v>2.1999999999999993</v>
      </c>
      <c r="BA34" s="44">
        <f t="shared" si="60"/>
        <v>114.86486486486486</v>
      </c>
      <c r="BB34" s="59"/>
      <c r="BC34" s="58">
        <v>10</v>
      </c>
      <c r="BD34" s="32">
        <f t="shared" si="61"/>
        <v>10</v>
      </c>
      <c r="BE34" s="28"/>
      <c r="BF34" s="57"/>
      <c r="BG34" s="58">
        <v>9.5</v>
      </c>
      <c r="BH34" s="32">
        <f t="shared" si="62"/>
        <v>9.5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/>
      <c r="BN34" s="59"/>
      <c r="BO34" s="58"/>
      <c r="BP34" s="7">
        <f t="shared" si="64"/>
        <v>0</v>
      </c>
      <c r="BQ34" s="44"/>
      <c r="BR34" s="58"/>
      <c r="BS34" s="58"/>
      <c r="BT34" s="7">
        <f t="shared" si="63"/>
        <v>0</v>
      </c>
      <c r="BU34" s="32" t="e">
        <f>BS34/BR34%</f>
        <v>#DIV/0!</v>
      </c>
      <c r="BV34" s="57"/>
      <c r="BW34" s="58"/>
      <c r="BX34" s="32">
        <f t="shared" si="65"/>
        <v>0</v>
      </c>
      <c r="BY34" s="32"/>
      <c r="CE34" s="58"/>
    </row>
    <row r="35" spans="1:83" s="66" customFormat="1" ht="33.75" customHeight="1">
      <c r="A35" s="65" t="s">
        <v>42</v>
      </c>
      <c r="B35" s="60">
        <f>B37+B36</f>
        <v>4567.1</v>
      </c>
      <c r="C35" s="62">
        <f>C37+C36</f>
        <v>17942.1</v>
      </c>
      <c r="D35" s="7">
        <f t="shared" si="0"/>
        <v>13374.999999999998</v>
      </c>
      <c r="E35" s="20" t="s">
        <v>27</v>
      </c>
      <c r="F35" s="9">
        <f t="shared" si="2"/>
        <v>1938.7</v>
      </c>
      <c r="G35" s="10">
        <f t="shared" si="2"/>
        <v>2620.3</v>
      </c>
      <c r="H35" s="10">
        <f t="shared" si="3"/>
        <v>681.6000000000001</v>
      </c>
      <c r="I35" s="261" t="s">
        <v>27</v>
      </c>
      <c r="J35" s="24">
        <f t="shared" si="45"/>
        <v>0</v>
      </c>
      <c r="K35" s="488">
        <f t="shared" si="46"/>
        <v>912.7</v>
      </c>
      <c r="L35" s="488">
        <f t="shared" si="5"/>
        <v>912.7</v>
      </c>
      <c r="M35" s="370"/>
      <c r="N35" s="62">
        <f>N37+N36</f>
        <v>0</v>
      </c>
      <c r="O35" s="62">
        <f>O37+O36</f>
        <v>479.4</v>
      </c>
      <c r="P35" s="7">
        <f t="shared" si="52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88">
        <f t="shared" si="40"/>
        <v>1938.7</v>
      </c>
      <c r="AA35" s="488">
        <f t="shared" si="28"/>
        <v>1707.6</v>
      </c>
      <c r="AB35" s="488">
        <f t="shared" si="29"/>
        <v>-231.10000000000014</v>
      </c>
      <c r="AC35" s="488">
        <f t="shared" si="57"/>
        <v>88.07964099654407</v>
      </c>
      <c r="AD35" s="62">
        <f>AD37+AD36</f>
        <v>0</v>
      </c>
      <c r="AE35" s="62">
        <f>AE37+AE36</f>
        <v>1026</v>
      </c>
      <c r="AF35" s="7">
        <f t="shared" si="30"/>
        <v>1026</v>
      </c>
      <c r="AG35" s="32"/>
      <c r="AH35" s="62">
        <f>AH37+AH36</f>
        <v>1938.7</v>
      </c>
      <c r="AI35" s="62">
        <f>AI37+AI36</f>
        <v>530.1</v>
      </c>
      <c r="AJ35" s="7">
        <f t="shared" si="12"/>
        <v>-1408.6</v>
      </c>
      <c r="AK35" s="7"/>
      <c r="AL35" s="61">
        <f>AL37+AL36</f>
        <v>0</v>
      </c>
      <c r="AM35" s="61">
        <f>AM37+AM36</f>
        <v>151.5</v>
      </c>
      <c r="AN35" s="7">
        <f t="shared" si="13"/>
        <v>151.5</v>
      </c>
      <c r="AO35" s="7"/>
      <c r="AP35" s="14">
        <f t="shared" si="66"/>
        <v>4567.1</v>
      </c>
      <c r="AQ35" s="15">
        <f t="shared" si="66"/>
        <v>17942.100000000002</v>
      </c>
      <c r="AR35" s="15">
        <f t="shared" si="15"/>
        <v>13375.000000000002</v>
      </c>
      <c r="AS35" s="16" t="s">
        <v>27</v>
      </c>
      <c r="AT35" s="24">
        <f t="shared" si="51"/>
        <v>2628.4</v>
      </c>
      <c r="AU35" s="488">
        <f t="shared" si="58"/>
        <v>15321.800000000001</v>
      </c>
      <c r="AV35" s="488">
        <f t="shared" si="43"/>
        <v>12693.400000000001</v>
      </c>
      <c r="AW35" s="489" t="s">
        <v>27</v>
      </c>
      <c r="AX35" s="60">
        <f>AX37+AX36</f>
        <v>681.4</v>
      </c>
      <c r="AY35" s="62">
        <f>AY37+AY36</f>
        <v>431.2</v>
      </c>
      <c r="AZ35" s="7">
        <f t="shared" si="49"/>
        <v>-250.2</v>
      </c>
      <c r="BA35" s="19">
        <f t="shared" si="60"/>
        <v>63.28147930730848</v>
      </c>
      <c r="BB35" s="60">
        <f>BB37+BB36</f>
        <v>0</v>
      </c>
      <c r="BC35" s="62">
        <f>BC37+BC36</f>
        <v>2229.9</v>
      </c>
      <c r="BD35" s="7">
        <f t="shared" si="61"/>
        <v>2229.9</v>
      </c>
      <c r="BE35" s="18" t="s">
        <v>27</v>
      </c>
      <c r="BF35" s="62">
        <f>BF37+BF36</f>
        <v>1947</v>
      </c>
      <c r="BG35" s="62">
        <f>BG37+BG36</f>
        <v>12660.7</v>
      </c>
      <c r="BH35" s="7">
        <f t="shared" si="62"/>
        <v>10713.7</v>
      </c>
      <c r="BI35" s="262" t="s">
        <v>27</v>
      </c>
      <c r="BJ35" s="26">
        <f t="shared" si="34"/>
        <v>0</v>
      </c>
      <c r="BK35" s="488">
        <f t="shared" si="35"/>
        <v>0</v>
      </c>
      <c r="BL35" s="488">
        <f t="shared" si="36"/>
        <v>0</v>
      </c>
      <c r="BM35" s="43" t="s">
        <v>27</v>
      </c>
      <c r="BN35" s="62">
        <f>BN37+BN36</f>
        <v>0</v>
      </c>
      <c r="BO35" s="62">
        <f>BO37+BO36</f>
        <v>0</v>
      </c>
      <c r="BP35" s="7">
        <f t="shared" si="64"/>
        <v>0</v>
      </c>
      <c r="BQ35" s="44" t="s">
        <v>27</v>
      </c>
      <c r="BR35" s="61">
        <f>BR37+BR36</f>
        <v>0</v>
      </c>
      <c r="BS35" s="61">
        <f>BS37+BS36</f>
        <v>0</v>
      </c>
      <c r="BT35" s="7">
        <f t="shared" si="63"/>
        <v>0</v>
      </c>
      <c r="BU35" s="32" t="s">
        <v>27</v>
      </c>
      <c r="BV35" s="62">
        <f>BV37+BV36</f>
        <v>0</v>
      </c>
      <c r="BW35" s="61">
        <f>BW37+BW36</f>
        <v>0</v>
      </c>
      <c r="BX35" s="7">
        <f t="shared" si="65"/>
        <v>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43</v>
      </c>
      <c r="B36" s="30">
        <f aca="true" t="shared" si="67" ref="B36:C39">J36+Z36+AT36+BJ36</f>
        <v>810</v>
      </c>
      <c r="C36" s="31">
        <f t="shared" si="67"/>
        <v>1024.8</v>
      </c>
      <c r="D36" s="32">
        <f t="shared" si="0"/>
        <v>214.79999999999995</v>
      </c>
      <c r="E36" s="220">
        <f t="shared" si="1"/>
        <v>126.51851851851852</v>
      </c>
      <c r="F36" s="34">
        <f t="shared" si="2"/>
        <v>666.5</v>
      </c>
      <c r="G36" s="35">
        <f t="shared" si="2"/>
        <v>810.1</v>
      </c>
      <c r="H36" s="35">
        <f t="shared" si="3"/>
        <v>143.60000000000002</v>
      </c>
      <c r="I36" s="36">
        <f>G36/F36%</f>
        <v>121.54538634658665</v>
      </c>
      <c r="J36" s="37">
        <f t="shared" si="45"/>
        <v>0</v>
      </c>
      <c r="K36" s="38">
        <f t="shared" si="46"/>
        <v>594.6</v>
      </c>
      <c r="L36" s="38">
        <f t="shared" si="5"/>
        <v>594.6</v>
      </c>
      <c r="M36" s="369"/>
      <c r="N36" s="57"/>
      <c r="O36" s="58">
        <v>451.5</v>
      </c>
      <c r="P36" s="32">
        <f t="shared" si="52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0"/>
        <v>666.5</v>
      </c>
      <c r="AA36" s="38">
        <f t="shared" si="28"/>
        <v>215.5</v>
      </c>
      <c r="AB36" s="38">
        <f t="shared" si="29"/>
        <v>-451</v>
      </c>
      <c r="AC36" s="38">
        <f t="shared" si="57"/>
        <v>32.3330832708177</v>
      </c>
      <c r="AD36" s="58"/>
      <c r="AE36" s="58">
        <v>71.9</v>
      </c>
      <c r="AF36" s="32">
        <f t="shared" si="30"/>
        <v>71.9</v>
      </c>
      <c r="AG36" s="32"/>
      <c r="AH36" s="58">
        <v>666.5</v>
      </c>
      <c r="AI36" s="58">
        <v>72</v>
      </c>
      <c r="AJ36" s="32">
        <f t="shared" si="12"/>
        <v>-594.5</v>
      </c>
      <c r="AK36" s="7"/>
      <c r="AL36" s="58"/>
      <c r="AM36" s="58">
        <v>71.6</v>
      </c>
      <c r="AN36" s="32">
        <f t="shared" si="13"/>
        <v>71.6</v>
      </c>
      <c r="AO36" s="32"/>
      <c r="AP36" s="40">
        <f t="shared" si="66"/>
        <v>810</v>
      </c>
      <c r="AQ36" s="41">
        <f t="shared" si="66"/>
        <v>1024.8</v>
      </c>
      <c r="AR36" s="41">
        <f t="shared" si="15"/>
        <v>214.79999999999995</v>
      </c>
      <c r="AS36" s="42" t="s">
        <v>27</v>
      </c>
      <c r="AT36" s="37">
        <f t="shared" si="51"/>
        <v>143.5</v>
      </c>
      <c r="AU36" s="38">
        <f t="shared" si="58"/>
        <v>214.7</v>
      </c>
      <c r="AV36" s="38">
        <f t="shared" si="43"/>
        <v>71.19999999999999</v>
      </c>
      <c r="AW36" s="43">
        <f t="shared" si="59"/>
        <v>149.61672473867594</v>
      </c>
      <c r="AX36" s="59">
        <v>143.5</v>
      </c>
      <c r="AY36" s="58">
        <v>71.7</v>
      </c>
      <c r="AZ36" s="32">
        <f t="shared" si="49"/>
        <v>-71.8</v>
      </c>
      <c r="BA36" s="44">
        <f t="shared" si="60"/>
        <v>49.965156794425084</v>
      </c>
      <c r="BB36" s="59"/>
      <c r="BC36" s="58">
        <v>71.5</v>
      </c>
      <c r="BD36" s="32">
        <f t="shared" si="61"/>
        <v>71.5</v>
      </c>
      <c r="BE36" s="28"/>
      <c r="BF36" s="57"/>
      <c r="BG36" s="58">
        <v>71.5</v>
      </c>
      <c r="BH36" s="32">
        <f t="shared" si="62"/>
        <v>71.5</v>
      </c>
      <c r="BI36" s="28"/>
      <c r="BJ36" s="45">
        <f t="shared" si="34"/>
        <v>0</v>
      </c>
      <c r="BK36" s="38">
        <f t="shared" si="35"/>
        <v>0</v>
      </c>
      <c r="BL36" s="38">
        <f>BK36-BJ36</f>
        <v>0</v>
      </c>
      <c r="BM36" s="43" t="s">
        <v>27</v>
      </c>
      <c r="BN36" s="59"/>
      <c r="BO36" s="58"/>
      <c r="BP36" s="7">
        <f t="shared" si="64"/>
        <v>0</v>
      </c>
      <c r="BQ36" s="44" t="s">
        <v>27</v>
      </c>
      <c r="BR36" s="58"/>
      <c r="BS36" s="58"/>
      <c r="BT36" s="32">
        <f t="shared" si="63"/>
        <v>0</v>
      </c>
      <c r="BU36" s="32" t="s">
        <v>27</v>
      </c>
      <c r="BV36" s="57"/>
      <c r="BW36" s="58"/>
      <c r="BX36" s="32">
        <f t="shared" si="65"/>
        <v>0</v>
      </c>
      <c r="BY36" s="32" t="e">
        <f>BW36/BV36%</f>
        <v>#DIV/0!</v>
      </c>
      <c r="CE36" s="58"/>
    </row>
    <row r="37" spans="1:83" ht="21.75" customHeight="1">
      <c r="A37" s="64" t="s">
        <v>44</v>
      </c>
      <c r="B37" s="30">
        <f t="shared" si="67"/>
        <v>3757.1000000000004</v>
      </c>
      <c r="C37" s="31">
        <f t="shared" si="67"/>
        <v>16917.3</v>
      </c>
      <c r="D37" s="33">
        <f t="shared" si="0"/>
        <v>13160.199999999999</v>
      </c>
      <c r="E37" s="220" t="s">
        <v>27</v>
      </c>
      <c r="F37" s="34">
        <f t="shared" si="2"/>
        <v>1272.2</v>
      </c>
      <c r="G37" s="35">
        <f t="shared" si="2"/>
        <v>1810.2000000000003</v>
      </c>
      <c r="H37" s="35">
        <f t="shared" si="3"/>
        <v>538.0000000000002</v>
      </c>
      <c r="I37" s="36">
        <f>G37/F37%</f>
        <v>142.28894827857255</v>
      </c>
      <c r="J37" s="37">
        <f t="shared" si="45"/>
        <v>0</v>
      </c>
      <c r="K37" s="38">
        <f t="shared" si="46"/>
        <v>318.1</v>
      </c>
      <c r="L37" s="38">
        <f t="shared" si="5"/>
        <v>318.1</v>
      </c>
      <c r="M37" s="369"/>
      <c r="N37" s="57"/>
      <c r="O37" s="58">
        <v>27.9</v>
      </c>
      <c r="P37" s="7">
        <f t="shared" si="52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0"/>
        <v>1272.2</v>
      </c>
      <c r="AA37" s="38">
        <f t="shared" si="28"/>
        <v>1492.1000000000001</v>
      </c>
      <c r="AB37" s="38">
        <f t="shared" si="29"/>
        <v>219.9000000000001</v>
      </c>
      <c r="AC37" s="38">
        <f t="shared" si="57"/>
        <v>117.28501807891841</v>
      </c>
      <c r="AD37" s="58"/>
      <c r="AE37" s="58">
        <v>954.1</v>
      </c>
      <c r="AF37" s="32">
        <f t="shared" si="30"/>
        <v>954.1</v>
      </c>
      <c r="AG37" s="32"/>
      <c r="AH37" s="58">
        <v>1272.2</v>
      </c>
      <c r="AI37" s="58">
        <v>458.1</v>
      </c>
      <c r="AJ37" s="32">
        <f t="shared" si="12"/>
        <v>-814.1</v>
      </c>
      <c r="AK37" s="7"/>
      <c r="AL37" s="58"/>
      <c r="AM37" s="58">
        <v>79.9</v>
      </c>
      <c r="AN37" s="32">
        <f t="shared" si="13"/>
        <v>79.9</v>
      </c>
      <c r="AO37" s="32"/>
      <c r="AP37" s="40">
        <f t="shared" si="66"/>
        <v>3757.1000000000004</v>
      </c>
      <c r="AQ37" s="41">
        <f t="shared" si="66"/>
        <v>16917.3</v>
      </c>
      <c r="AR37" s="41">
        <f t="shared" si="15"/>
        <v>13160.199999999999</v>
      </c>
      <c r="AS37" s="42" t="s">
        <v>27</v>
      </c>
      <c r="AT37" s="37">
        <f t="shared" si="51"/>
        <v>2484.9</v>
      </c>
      <c r="AU37" s="38">
        <f t="shared" si="58"/>
        <v>15107.1</v>
      </c>
      <c r="AV37" s="38">
        <f t="shared" si="43"/>
        <v>12622.2</v>
      </c>
      <c r="AW37" s="43" t="s">
        <v>27</v>
      </c>
      <c r="AX37" s="59">
        <v>537.9</v>
      </c>
      <c r="AY37" s="58">
        <v>359.5</v>
      </c>
      <c r="AZ37" s="32">
        <f t="shared" si="49"/>
        <v>-178.39999999999998</v>
      </c>
      <c r="BA37" s="44">
        <f t="shared" si="60"/>
        <v>66.83398401189812</v>
      </c>
      <c r="BB37" s="59"/>
      <c r="BC37" s="58">
        <v>2158.4</v>
      </c>
      <c r="BD37" s="32">
        <f t="shared" si="61"/>
        <v>2158.4</v>
      </c>
      <c r="BE37" s="28"/>
      <c r="BF37" s="57">
        <v>1947</v>
      </c>
      <c r="BG37" s="58">
        <v>12589.2</v>
      </c>
      <c r="BH37" s="32">
        <f t="shared" si="62"/>
        <v>10642.2</v>
      </c>
      <c r="BI37" s="49" t="s">
        <v>27</v>
      </c>
      <c r="BJ37" s="45">
        <f t="shared" si="34"/>
        <v>0</v>
      </c>
      <c r="BK37" s="38">
        <f t="shared" si="35"/>
        <v>0</v>
      </c>
      <c r="BL37" s="38">
        <f>BK37-BJ37</f>
        <v>0</v>
      </c>
      <c r="BM37" s="43"/>
      <c r="BN37" s="59"/>
      <c r="BO37" s="58"/>
      <c r="BP37" s="7">
        <f t="shared" si="64"/>
        <v>0</v>
      </c>
      <c r="BQ37" s="44"/>
      <c r="BR37" s="58"/>
      <c r="BS37" s="58"/>
      <c r="BT37" s="32">
        <f t="shared" si="63"/>
        <v>0</v>
      </c>
      <c r="BU37" s="32"/>
      <c r="BV37" s="57"/>
      <c r="BW37" s="58"/>
      <c r="BX37" s="32">
        <f t="shared" si="65"/>
        <v>0</v>
      </c>
      <c r="BY37" s="32"/>
      <c r="CE37" s="58"/>
    </row>
    <row r="38" spans="1:83" s="21" customFormat="1" ht="37.5" customHeight="1" thickBot="1">
      <c r="A38" s="65" t="s">
        <v>45</v>
      </c>
      <c r="B38" s="67">
        <f t="shared" si="67"/>
        <v>6203.4</v>
      </c>
      <c r="C38" s="68">
        <f t="shared" si="67"/>
        <v>8256.400000000001</v>
      </c>
      <c r="D38" s="69">
        <f t="shared" si="0"/>
        <v>2053.000000000002</v>
      </c>
      <c r="E38" s="20">
        <f t="shared" si="1"/>
        <v>133.09475448947353</v>
      </c>
      <c r="F38" s="9">
        <f>J38+Z38</f>
        <v>4079</v>
      </c>
      <c r="G38" s="10">
        <f>K38+AA38</f>
        <v>6167.200000000001</v>
      </c>
      <c r="H38" s="10">
        <f>G38-F38</f>
        <v>2088.2000000000007</v>
      </c>
      <c r="I38" s="261" t="s">
        <v>27</v>
      </c>
      <c r="J38" s="24">
        <f t="shared" si="45"/>
        <v>1002</v>
      </c>
      <c r="K38" s="488">
        <f t="shared" si="46"/>
        <v>2951.1</v>
      </c>
      <c r="L38" s="488">
        <f>K38-J38</f>
        <v>1949.1</v>
      </c>
      <c r="M38" s="368" t="s">
        <v>117</v>
      </c>
      <c r="N38" s="62">
        <v>282.2</v>
      </c>
      <c r="O38" s="61">
        <v>1618.5</v>
      </c>
      <c r="P38" s="7">
        <f t="shared" si="52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39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88">
        <f t="shared" si="40"/>
        <v>3077</v>
      </c>
      <c r="AA38" s="488">
        <f t="shared" si="28"/>
        <v>3216.1000000000004</v>
      </c>
      <c r="AB38" s="488">
        <f t="shared" si="29"/>
        <v>139.10000000000036</v>
      </c>
      <c r="AC38" s="488" t="s">
        <v>27</v>
      </c>
      <c r="AD38" s="61">
        <v>442.7</v>
      </c>
      <c r="AE38" s="61">
        <v>1817.2</v>
      </c>
      <c r="AF38" s="7">
        <f t="shared" si="30"/>
        <v>1374.5</v>
      </c>
      <c r="AG38" s="7" t="s">
        <v>27</v>
      </c>
      <c r="AH38" s="61">
        <v>562.9</v>
      </c>
      <c r="AI38" s="61">
        <v>711.1</v>
      </c>
      <c r="AJ38" s="7">
        <f t="shared" si="12"/>
        <v>148.20000000000005</v>
      </c>
      <c r="AK38" s="32">
        <f t="shared" si="42"/>
        <v>126.32794457274828</v>
      </c>
      <c r="AL38" s="380">
        <f>571.4+1500</f>
        <v>2071.4</v>
      </c>
      <c r="AM38" s="61">
        <v>687.8</v>
      </c>
      <c r="AN38" s="7">
        <f t="shared" si="13"/>
        <v>-1383.6000000000001</v>
      </c>
      <c r="AO38" s="7">
        <f>AM38/AL38%</f>
        <v>33.204595925461035</v>
      </c>
      <c r="AP38" s="14">
        <f t="shared" si="66"/>
        <v>5164.3</v>
      </c>
      <c r="AQ38" s="15">
        <f>K38+AA38+AU38</f>
        <v>8256.400000000001</v>
      </c>
      <c r="AR38" s="15">
        <f>AQ38-AP38</f>
        <v>3092.1000000000013</v>
      </c>
      <c r="AS38" s="16" t="s">
        <v>27</v>
      </c>
      <c r="AT38" s="24">
        <f t="shared" si="51"/>
        <v>1085.3</v>
      </c>
      <c r="AU38" s="488">
        <f t="shared" si="58"/>
        <v>2089.2</v>
      </c>
      <c r="AV38" s="488">
        <f t="shared" si="43"/>
        <v>1003.8999999999999</v>
      </c>
      <c r="AW38" s="489" t="s">
        <v>27</v>
      </c>
      <c r="AX38" s="381">
        <f>590-109.4</f>
        <v>480.6</v>
      </c>
      <c r="AY38" s="61">
        <v>709.3</v>
      </c>
      <c r="AZ38" s="7">
        <f t="shared" si="49"/>
        <v>228.69999999999993</v>
      </c>
      <c r="BA38" s="19">
        <f t="shared" si="60"/>
        <v>147.58635039533914</v>
      </c>
      <c r="BB38" s="491">
        <f>666.7-240.1</f>
        <v>426.6</v>
      </c>
      <c r="BC38" s="71">
        <v>882.3</v>
      </c>
      <c r="BD38" s="83">
        <f>BC38-BB38</f>
        <v>455.69999999999993</v>
      </c>
      <c r="BE38" s="18" t="s">
        <v>27</v>
      </c>
      <c r="BF38" s="497">
        <f>395.4-217.3</f>
        <v>178.09999999999997</v>
      </c>
      <c r="BG38" s="71">
        <v>497.6</v>
      </c>
      <c r="BH38" s="72">
        <f>BG38-BF38</f>
        <v>319.50000000000006</v>
      </c>
      <c r="BI38" s="49" t="s">
        <v>27</v>
      </c>
      <c r="BJ38" s="26">
        <f t="shared" si="34"/>
        <v>1039.1</v>
      </c>
      <c r="BK38" s="488">
        <f t="shared" si="35"/>
        <v>0</v>
      </c>
      <c r="BL38" s="488">
        <f>BK38-BJ38</f>
        <v>-1039.1</v>
      </c>
      <c r="BM38" s="489">
        <f>BK38/BJ38%</f>
        <v>0</v>
      </c>
      <c r="BN38" s="381">
        <f>612.8-378.5</f>
        <v>234.29999999999995</v>
      </c>
      <c r="BO38" s="61"/>
      <c r="BP38" s="7">
        <f t="shared" si="64"/>
        <v>-234.29999999999995</v>
      </c>
      <c r="BQ38" s="44">
        <f>BO38/BN38%</f>
        <v>0</v>
      </c>
      <c r="BR38" s="380">
        <f>270.7-19.4</f>
        <v>251.29999999999998</v>
      </c>
      <c r="BS38" s="61"/>
      <c r="BT38" s="7">
        <f t="shared" si="63"/>
        <v>-251.29999999999998</v>
      </c>
      <c r="BU38" s="32" t="s">
        <v>27</v>
      </c>
      <c r="BV38" s="382">
        <f>1088.8-535.3</f>
        <v>553.5</v>
      </c>
      <c r="BW38" s="61"/>
      <c r="BX38" s="7">
        <f t="shared" si="65"/>
        <v>-553.5</v>
      </c>
      <c r="BY38" s="7">
        <f>BW38/BV38%</f>
        <v>0</v>
      </c>
      <c r="CE38" s="71"/>
    </row>
    <row r="39" spans="1:83" s="98" customFormat="1" ht="24" customHeight="1" thickBot="1">
      <c r="A39" s="263" t="s">
        <v>46</v>
      </c>
      <c r="B39" s="73">
        <f t="shared" si="67"/>
        <v>0</v>
      </c>
      <c r="C39" s="74">
        <f t="shared" si="67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5"/>
        <v>0</v>
      </c>
      <c r="K39" s="81">
        <f t="shared" si="46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4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40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6"/>
        <v>0</v>
      </c>
      <c r="AQ39" s="85">
        <f>K39+AA39+AU39</f>
        <v>0</v>
      </c>
      <c r="AR39" s="85">
        <f>AQ39-AP39</f>
        <v>0</v>
      </c>
      <c r="AS39" s="86"/>
      <c r="AT39" s="87">
        <f t="shared" si="51"/>
        <v>0</v>
      </c>
      <c r="AU39" s="88">
        <f t="shared" si="58"/>
        <v>0</v>
      </c>
      <c r="AV39" s="88">
        <f t="shared" si="43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64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5"/>
        <v>0</v>
      </c>
      <c r="BY39" s="32"/>
      <c r="CE39" s="91"/>
    </row>
    <row r="40" spans="1:83" ht="20.25">
      <c r="A40" s="265"/>
      <c r="B40" s="266"/>
      <c r="C40" s="267"/>
      <c r="D40" s="266"/>
      <c r="E40" s="266"/>
      <c r="F40" s="266"/>
      <c r="G40" s="266"/>
      <c r="H40" s="266"/>
      <c r="I40" s="266"/>
      <c r="J40" s="266"/>
      <c r="K40" s="266"/>
      <c r="L40" s="266"/>
      <c r="M40" s="268"/>
      <c r="N40" s="269"/>
      <c r="O40" s="269"/>
      <c r="P40" s="269"/>
      <c r="Q40" s="270"/>
      <c r="R40" s="269"/>
      <c r="S40" s="269"/>
      <c r="T40" s="269"/>
      <c r="U40" s="271"/>
      <c r="V40" s="269"/>
      <c r="W40" s="269" t="s">
        <v>106</v>
      </c>
      <c r="X40" s="269"/>
      <c r="Y40" s="272"/>
      <c r="Z40" s="266"/>
      <c r="AA40" s="266"/>
      <c r="AB40" s="266"/>
      <c r="AC40" s="266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6"/>
      <c r="AU40" s="266"/>
      <c r="AV40" s="266"/>
      <c r="AW40" s="273"/>
      <c r="AX40" s="267"/>
      <c r="AY40" s="267"/>
      <c r="AZ40" s="267"/>
      <c r="BA40" s="267"/>
      <c r="BB40" s="267"/>
      <c r="BC40" s="267" t="s">
        <v>106</v>
      </c>
      <c r="BD40" s="267"/>
      <c r="BE40" s="267"/>
      <c r="BF40" s="267"/>
      <c r="BG40" s="267"/>
      <c r="BH40" s="267"/>
      <c r="BI40" s="267"/>
      <c r="BJ40" s="267"/>
      <c r="BK40" s="266"/>
      <c r="BL40" s="266"/>
      <c r="BM40" s="266"/>
      <c r="BN40" s="267"/>
      <c r="BO40" s="267"/>
      <c r="BP40" s="267"/>
      <c r="BQ40" s="267"/>
      <c r="CE40" s="267"/>
    </row>
    <row r="41" spans="2:83" ht="20.25">
      <c r="B41" s="266"/>
      <c r="C41" s="267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7"/>
      <c r="O41" s="267"/>
      <c r="P41" s="267"/>
      <c r="R41" s="267"/>
      <c r="S41" s="267"/>
      <c r="T41" s="267"/>
      <c r="V41" s="267"/>
      <c r="W41" s="267"/>
      <c r="X41" s="267"/>
      <c r="Z41" s="266"/>
      <c r="AA41" s="266"/>
      <c r="AB41" s="266"/>
      <c r="AC41" s="266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6"/>
      <c r="AU41" s="266"/>
      <c r="AV41" s="266"/>
      <c r="AW41" s="273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6"/>
      <c r="BL41" s="266"/>
      <c r="BM41" s="266"/>
      <c r="BN41" s="267"/>
      <c r="BO41" s="267"/>
      <c r="BP41" s="267"/>
      <c r="BQ41" s="267"/>
      <c r="CE41" s="267"/>
    </row>
    <row r="42" spans="2:83" ht="20.25">
      <c r="B42" s="266"/>
      <c r="C42" s="274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7"/>
      <c r="O42" s="267"/>
      <c r="P42" s="267"/>
      <c r="R42" s="267"/>
      <c r="S42" s="267"/>
      <c r="T42" s="267"/>
      <c r="V42" s="267"/>
      <c r="W42" s="267"/>
      <c r="X42" s="267"/>
      <c r="Z42" s="266"/>
      <c r="AA42" s="266"/>
      <c r="AB42" s="266"/>
      <c r="AC42" s="266"/>
      <c r="AD42" s="267"/>
      <c r="AE42" s="275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6"/>
      <c r="AU42" s="266"/>
      <c r="AV42" s="266"/>
      <c r="AW42" s="273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6"/>
      <c r="BL42" s="266"/>
      <c r="BM42" s="266"/>
      <c r="BN42" s="267"/>
      <c r="BO42" s="267"/>
      <c r="BP42" s="267"/>
      <c r="BQ42" s="267"/>
      <c r="CE42" s="267"/>
    </row>
    <row r="43" spans="2:83" ht="20.25">
      <c r="B43" s="266"/>
      <c r="C43" s="274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7"/>
      <c r="P43" s="267"/>
      <c r="R43" s="267"/>
      <c r="S43" s="267"/>
      <c r="T43" s="267"/>
      <c r="V43" s="267"/>
      <c r="W43" s="267"/>
      <c r="X43" s="267"/>
      <c r="Z43" s="266"/>
      <c r="AA43" s="266"/>
      <c r="AB43" s="266"/>
      <c r="AC43" s="266"/>
      <c r="AD43" s="267"/>
      <c r="AE43" s="275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6"/>
      <c r="AU43" s="266"/>
      <c r="AV43" s="266"/>
      <c r="AW43" s="273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6"/>
      <c r="BL43" s="266"/>
      <c r="BM43" s="266"/>
      <c r="BN43" s="267"/>
      <c r="BO43" s="267"/>
      <c r="BP43" s="267"/>
      <c r="BQ43" s="267"/>
      <c r="CE43" s="267"/>
    </row>
    <row r="44" spans="2:83" ht="20.25">
      <c r="B44" s="266"/>
      <c r="C44" s="274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7"/>
      <c r="P44" s="267"/>
      <c r="R44" s="267"/>
      <c r="S44" s="267"/>
      <c r="T44" s="267"/>
      <c r="V44" s="267"/>
      <c r="W44" s="267"/>
      <c r="X44" s="267"/>
      <c r="Z44" s="266"/>
      <c r="AA44" s="266"/>
      <c r="AB44" s="266"/>
      <c r="AC44" s="266"/>
      <c r="AD44" s="267"/>
      <c r="AE44" s="275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6"/>
      <c r="AU44" s="266"/>
      <c r="AV44" s="266"/>
      <c r="AW44" s="273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6"/>
      <c r="BL44" s="266"/>
      <c r="BM44" s="266"/>
      <c r="BN44" s="267"/>
      <c r="BO44" s="267"/>
      <c r="BP44" s="267"/>
      <c r="BQ44" s="267"/>
      <c r="CE44" s="267"/>
    </row>
    <row r="45" spans="2:83" ht="20.25">
      <c r="B45" s="266"/>
      <c r="C45" s="267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7"/>
      <c r="P45" s="267"/>
      <c r="R45" s="267"/>
      <c r="S45" s="267"/>
      <c r="T45" s="267"/>
      <c r="V45" s="267"/>
      <c r="W45" s="267"/>
      <c r="X45" s="267"/>
      <c r="Z45" s="266"/>
      <c r="AA45" s="266"/>
      <c r="AB45" s="266"/>
      <c r="AC45" s="266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6"/>
      <c r="AU45" s="266"/>
      <c r="AV45" s="266"/>
      <c r="AW45" s="273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6"/>
      <c r="BL45" s="266"/>
      <c r="BM45" s="266"/>
      <c r="BN45" s="267"/>
      <c r="BO45" s="267"/>
      <c r="BP45" s="267"/>
      <c r="BQ45" s="267"/>
      <c r="CE45" s="267"/>
    </row>
    <row r="46" spans="2:83" ht="20.25">
      <c r="B46" s="266"/>
      <c r="C46" s="267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  <c r="O46" s="267"/>
      <c r="P46" s="267"/>
      <c r="R46" s="267"/>
      <c r="S46" s="267"/>
      <c r="T46" s="267"/>
      <c r="V46" s="267"/>
      <c r="W46" s="267"/>
      <c r="X46" s="267"/>
      <c r="Z46" s="266"/>
      <c r="AA46" s="266"/>
      <c r="AB46" s="266"/>
      <c r="AC46" s="266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6"/>
      <c r="AU46" s="266"/>
      <c r="AV46" s="266"/>
      <c r="AW46" s="273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6"/>
      <c r="BL46" s="266"/>
      <c r="BM46" s="266"/>
      <c r="BN46" s="267"/>
      <c r="BO46" s="267"/>
      <c r="BP46" s="267"/>
      <c r="BQ46" s="267"/>
      <c r="CE46" s="267"/>
    </row>
    <row r="47" spans="2:83" ht="20.25">
      <c r="B47" s="266"/>
      <c r="C47" s="267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7"/>
      <c r="O47" s="267"/>
      <c r="P47" s="267"/>
      <c r="R47" s="267"/>
      <c r="S47" s="267"/>
      <c r="T47" s="267"/>
      <c r="V47" s="267"/>
      <c r="W47" s="267"/>
      <c r="X47" s="267"/>
      <c r="Z47" s="266"/>
      <c r="AA47" s="266"/>
      <c r="AB47" s="266"/>
      <c r="AC47" s="266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6"/>
      <c r="AU47" s="266"/>
      <c r="AV47" s="266"/>
      <c r="AW47" s="273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6"/>
      <c r="BL47" s="266"/>
      <c r="BM47" s="266"/>
      <c r="BN47" s="267"/>
      <c r="BO47" s="267"/>
      <c r="BP47" s="267"/>
      <c r="BQ47" s="267"/>
      <c r="CE47" s="267"/>
    </row>
    <row r="48" spans="2:83" ht="20.25">
      <c r="B48" s="266"/>
      <c r="C48" s="267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7"/>
      <c r="O48" s="267"/>
      <c r="P48" s="267"/>
      <c r="R48" s="267"/>
      <c r="S48" s="267"/>
      <c r="T48" s="267"/>
      <c r="V48" s="267"/>
      <c r="W48" s="267"/>
      <c r="X48" s="267"/>
      <c r="Z48" s="266"/>
      <c r="AA48" s="266"/>
      <c r="AB48" s="266"/>
      <c r="AC48" s="266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6"/>
      <c r="AU48" s="266"/>
      <c r="AV48" s="266"/>
      <c r="AW48" s="273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6"/>
      <c r="BL48" s="266"/>
      <c r="BM48" s="266"/>
      <c r="BN48" s="267"/>
      <c r="BO48" s="267"/>
      <c r="BP48" s="267"/>
      <c r="BQ48" s="267"/>
      <c r="CE48" s="267"/>
    </row>
    <row r="49" spans="2:83" ht="20.25">
      <c r="B49" s="266"/>
      <c r="C49" s="267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267"/>
      <c r="P49" s="267"/>
      <c r="R49" s="267"/>
      <c r="S49" s="267"/>
      <c r="T49" s="267"/>
      <c r="V49" s="267"/>
      <c r="W49" s="267"/>
      <c r="X49" s="267"/>
      <c r="Z49" s="266"/>
      <c r="AA49" s="266"/>
      <c r="AB49" s="266"/>
      <c r="AC49" s="266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6"/>
      <c r="AU49" s="266"/>
      <c r="AV49" s="266"/>
      <c r="AW49" s="273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6"/>
      <c r="BL49" s="266"/>
      <c r="BM49" s="266"/>
      <c r="BN49" s="267"/>
      <c r="BO49" s="267"/>
      <c r="BP49" s="267"/>
      <c r="BQ49" s="267"/>
      <c r="CE49" s="267"/>
    </row>
    <row r="50" spans="2:83" ht="20.25">
      <c r="B50" s="266"/>
      <c r="C50" s="267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7"/>
      <c r="O50" s="267"/>
      <c r="P50" s="267"/>
      <c r="R50" s="267"/>
      <c r="S50" s="267"/>
      <c r="T50" s="267"/>
      <c r="V50" s="267"/>
      <c r="W50" s="267"/>
      <c r="X50" s="267"/>
      <c r="Z50" s="266"/>
      <c r="AA50" s="266"/>
      <c r="AB50" s="266"/>
      <c r="AC50" s="266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6"/>
      <c r="AU50" s="266"/>
      <c r="AV50" s="266"/>
      <c r="AW50" s="273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6"/>
      <c r="BL50" s="266"/>
      <c r="BM50" s="266"/>
      <c r="BN50" s="267"/>
      <c r="BO50" s="267"/>
      <c r="BP50" s="267"/>
      <c r="BQ50" s="267"/>
      <c r="CE50" s="267"/>
    </row>
    <row r="51" spans="2:83" ht="20.25">
      <c r="B51" s="266"/>
      <c r="C51" s="267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7"/>
      <c r="O51" s="267"/>
      <c r="P51" s="267"/>
      <c r="R51" s="267"/>
      <c r="S51" s="267"/>
      <c r="T51" s="267"/>
      <c r="V51" s="267"/>
      <c r="W51" s="267"/>
      <c r="X51" s="267"/>
      <c r="Z51" s="266"/>
      <c r="AA51" s="266"/>
      <c r="AB51" s="266"/>
      <c r="AC51" s="266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6"/>
      <c r="AU51" s="266"/>
      <c r="AV51" s="266"/>
      <c r="AW51" s="273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6"/>
      <c r="BL51" s="266"/>
      <c r="BM51" s="266"/>
      <c r="BN51" s="267"/>
      <c r="BO51" s="267"/>
      <c r="BP51" s="267"/>
      <c r="BQ51" s="267"/>
      <c r="CE51" s="267"/>
    </row>
    <row r="52" spans="2:83" ht="20.25">
      <c r="B52" s="266"/>
      <c r="C52" s="267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7"/>
      <c r="O52" s="267"/>
      <c r="P52" s="267"/>
      <c r="R52" s="267"/>
      <c r="S52" s="267"/>
      <c r="T52" s="267"/>
      <c r="V52" s="267"/>
      <c r="W52" s="267"/>
      <c r="X52" s="267"/>
      <c r="Z52" s="266"/>
      <c r="AA52" s="266"/>
      <c r="AB52" s="266"/>
      <c r="AC52" s="266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6"/>
      <c r="AU52" s="266"/>
      <c r="AV52" s="266"/>
      <c r="AW52" s="273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6"/>
      <c r="BL52" s="266"/>
      <c r="BM52" s="266"/>
      <c r="BN52" s="267"/>
      <c r="BO52" s="267"/>
      <c r="BP52" s="267"/>
      <c r="BQ52" s="267"/>
      <c r="CE52" s="267"/>
    </row>
    <row r="53" spans="2:83" ht="20.25">
      <c r="B53" s="266"/>
      <c r="C53" s="267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7"/>
      <c r="O53" s="267"/>
      <c r="P53" s="267"/>
      <c r="R53" s="267"/>
      <c r="S53" s="267"/>
      <c r="T53" s="267"/>
      <c r="V53" s="267"/>
      <c r="W53" s="267"/>
      <c r="X53" s="267"/>
      <c r="Z53" s="266"/>
      <c r="AA53" s="266"/>
      <c r="AB53" s="266"/>
      <c r="AC53" s="266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6"/>
      <c r="AU53" s="266"/>
      <c r="AV53" s="266"/>
      <c r="AW53" s="273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6"/>
      <c r="BL53" s="266"/>
      <c r="BM53" s="266"/>
      <c r="BN53" s="267"/>
      <c r="BO53" s="267"/>
      <c r="BP53" s="267"/>
      <c r="BQ53" s="267"/>
      <c r="CE53" s="267"/>
    </row>
    <row r="54" spans="1:83" s="1" customFormat="1" ht="20.25">
      <c r="A54" s="99"/>
      <c r="B54" s="266"/>
      <c r="C54" s="267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7"/>
      <c r="O54" s="267"/>
      <c r="P54" s="267"/>
      <c r="Q54" s="226"/>
      <c r="R54" s="267"/>
      <c r="S54" s="267"/>
      <c r="T54" s="267"/>
      <c r="V54" s="267"/>
      <c r="W54" s="267"/>
      <c r="X54" s="267"/>
      <c r="Y54" s="2"/>
      <c r="Z54" s="266"/>
      <c r="AA54" s="266"/>
      <c r="AB54" s="266"/>
      <c r="AC54" s="266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6"/>
      <c r="AU54" s="266"/>
      <c r="AV54" s="266"/>
      <c r="AW54" s="273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6"/>
      <c r="BL54" s="266"/>
      <c r="BM54" s="266"/>
      <c r="BN54" s="267"/>
      <c r="BO54" s="267"/>
      <c r="BP54" s="267"/>
      <c r="BQ54" s="267"/>
      <c r="CE54" s="267"/>
    </row>
    <row r="55" spans="1:83" s="1" customFormat="1" ht="20.25">
      <c r="A55" s="99"/>
      <c r="B55" s="266"/>
      <c r="C55" s="267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7"/>
      <c r="O55" s="267"/>
      <c r="P55" s="267"/>
      <c r="Q55" s="226"/>
      <c r="R55" s="267"/>
      <c r="S55" s="267"/>
      <c r="T55" s="267"/>
      <c r="V55" s="267"/>
      <c r="W55" s="267"/>
      <c r="X55" s="267"/>
      <c r="Y55" s="2"/>
      <c r="Z55" s="266"/>
      <c r="AA55" s="266"/>
      <c r="AB55" s="266"/>
      <c r="AC55" s="266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6"/>
      <c r="AU55" s="266"/>
      <c r="AV55" s="266"/>
      <c r="AW55" s="273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6"/>
      <c r="BL55" s="266"/>
      <c r="BM55" s="266"/>
      <c r="BN55" s="267"/>
      <c r="BO55" s="267"/>
      <c r="BP55" s="267"/>
      <c r="BQ55" s="267"/>
      <c r="CE55" s="267"/>
    </row>
    <row r="56" spans="1:83" s="1" customFormat="1" ht="20.25">
      <c r="A56" s="99"/>
      <c r="B56" s="266"/>
      <c r="C56" s="267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7"/>
      <c r="O56" s="267"/>
      <c r="P56" s="267"/>
      <c r="Q56" s="226"/>
      <c r="R56" s="267"/>
      <c r="S56" s="267"/>
      <c r="T56" s="267"/>
      <c r="V56" s="267"/>
      <c r="W56" s="267"/>
      <c r="X56" s="267"/>
      <c r="Y56" s="2"/>
      <c r="Z56" s="266"/>
      <c r="AA56" s="266"/>
      <c r="AB56" s="266"/>
      <c r="AC56" s="266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6"/>
      <c r="AU56" s="266"/>
      <c r="AV56" s="266"/>
      <c r="AW56" s="273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6"/>
      <c r="BL56" s="266"/>
      <c r="BM56" s="266"/>
      <c r="BN56" s="267"/>
      <c r="BO56" s="267"/>
      <c r="BP56" s="267"/>
      <c r="BQ56" s="267"/>
      <c r="CE56" s="267"/>
    </row>
    <row r="57" spans="1:83" s="1" customFormat="1" ht="20.25">
      <c r="A57" s="99"/>
      <c r="B57" s="266"/>
      <c r="C57" s="267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7"/>
      <c r="O57" s="267"/>
      <c r="P57" s="267"/>
      <c r="Q57" s="226"/>
      <c r="R57" s="267"/>
      <c r="S57" s="267"/>
      <c r="T57" s="267"/>
      <c r="V57" s="267"/>
      <c r="W57" s="267"/>
      <c r="X57" s="267"/>
      <c r="Y57" s="2"/>
      <c r="Z57" s="266"/>
      <c r="AA57" s="266"/>
      <c r="AB57" s="266"/>
      <c r="AC57" s="266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6"/>
      <c r="AU57" s="266"/>
      <c r="AV57" s="266"/>
      <c r="AW57" s="273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6"/>
      <c r="BL57" s="266"/>
      <c r="BM57" s="266"/>
      <c r="BN57" s="267"/>
      <c r="BO57" s="267"/>
      <c r="BP57" s="267"/>
      <c r="BQ57" s="267"/>
      <c r="CE57" s="267"/>
    </row>
    <row r="58" spans="1:83" s="1" customFormat="1" ht="20.25">
      <c r="A58" s="99"/>
      <c r="B58" s="266"/>
      <c r="C58" s="267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7"/>
      <c r="O58" s="267"/>
      <c r="P58" s="267"/>
      <c r="Q58" s="226"/>
      <c r="R58" s="267"/>
      <c r="S58" s="267"/>
      <c r="T58" s="267"/>
      <c r="V58" s="267"/>
      <c r="W58" s="267"/>
      <c r="X58" s="267"/>
      <c r="Y58" s="2"/>
      <c r="Z58" s="266"/>
      <c r="AA58" s="266"/>
      <c r="AB58" s="266"/>
      <c r="AC58" s="266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6"/>
      <c r="AU58" s="266"/>
      <c r="AV58" s="266"/>
      <c r="AW58" s="273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6"/>
      <c r="BL58" s="266"/>
      <c r="BM58" s="266"/>
      <c r="BN58" s="267"/>
      <c r="BO58" s="267"/>
      <c r="BP58" s="267"/>
      <c r="BQ58" s="267"/>
      <c r="CE58" s="267"/>
    </row>
    <row r="59" spans="1:83" s="1" customFormat="1" ht="20.25">
      <c r="A59" s="99"/>
      <c r="B59" s="266"/>
      <c r="C59" s="267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7"/>
      <c r="O59" s="267"/>
      <c r="P59" s="267"/>
      <c r="Q59" s="226"/>
      <c r="R59" s="267"/>
      <c r="S59" s="267"/>
      <c r="T59" s="267"/>
      <c r="V59" s="267"/>
      <c r="W59" s="267"/>
      <c r="X59" s="267"/>
      <c r="Y59" s="2"/>
      <c r="Z59" s="266"/>
      <c r="AA59" s="266"/>
      <c r="AB59" s="266"/>
      <c r="AC59" s="266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6"/>
      <c r="AU59" s="266"/>
      <c r="AV59" s="266"/>
      <c r="AW59" s="273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6"/>
      <c r="BL59" s="266"/>
      <c r="BM59" s="266"/>
      <c r="BN59" s="267"/>
      <c r="BO59" s="267"/>
      <c r="BP59" s="267"/>
      <c r="BQ59" s="267"/>
      <c r="CE59" s="267"/>
    </row>
    <row r="60" spans="1:83" s="1" customFormat="1" ht="20.25">
      <c r="A60" s="99"/>
      <c r="B60" s="266"/>
      <c r="C60" s="267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7"/>
      <c r="P60" s="267"/>
      <c r="Q60" s="226"/>
      <c r="R60" s="267"/>
      <c r="S60" s="267"/>
      <c r="T60" s="267"/>
      <c r="V60" s="267"/>
      <c r="W60" s="267"/>
      <c r="X60" s="267"/>
      <c r="Y60" s="2"/>
      <c r="Z60" s="266"/>
      <c r="AA60" s="266"/>
      <c r="AB60" s="266"/>
      <c r="AC60" s="266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6"/>
      <c r="AU60" s="266"/>
      <c r="AV60" s="266"/>
      <c r="AW60" s="273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6"/>
      <c r="BL60" s="266"/>
      <c r="BM60" s="266"/>
      <c r="BN60" s="267"/>
      <c r="BO60" s="267"/>
      <c r="BP60" s="267"/>
      <c r="BQ60" s="267"/>
      <c r="CE60" s="267"/>
    </row>
  </sheetData>
  <sheetProtection/>
  <mergeCells count="78"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E34" sqref="BE34:BG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76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1" t="s">
        <v>150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156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2" t="s">
        <v>48</v>
      </c>
      <c r="D6" s="493"/>
      <c r="E6" s="493"/>
      <c r="F6" s="493"/>
      <c r="G6" s="493"/>
      <c r="H6" s="494"/>
      <c r="I6" s="492" t="s">
        <v>49</v>
      </c>
      <c r="J6" s="493"/>
      <c r="K6" s="493"/>
      <c r="L6" s="493"/>
      <c r="M6" s="495"/>
      <c r="N6" s="277"/>
      <c r="O6" s="492" t="s">
        <v>50</v>
      </c>
      <c r="P6" s="493"/>
      <c r="Q6" s="493"/>
      <c r="R6" s="493"/>
      <c r="S6" s="495"/>
      <c r="T6" s="277"/>
      <c r="U6" s="492" t="s">
        <v>51</v>
      </c>
      <c r="V6" s="493"/>
      <c r="W6" s="493"/>
      <c r="X6" s="493"/>
      <c r="Y6" s="495"/>
      <c r="Z6" s="277"/>
      <c r="AA6" s="492" t="s">
        <v>52</v>
      </c>
      <c r="AB6" s="493"/>
      <c r="AC6" s="493"/>
      <c r="AD6" s="493"/>
      <c r="AE6" s="495"/>
      <c r="AF6" s="277"/>
      <c r="AG6" s="492" t="s">
        <v>53</v>
      </c>
      <c r="AH6" s="493"/>
      <c r="AI6" s="493"/>
      <c r="AJ6" s="493"/>
      <c r="AK6" s="495"/>
      <c r="AL6" s="277"/>
      <c r="AM6" s="492" t="s">
        <v>54</v>
      </c>
      <c r="AN6" s="493"/>
      <c r="AO6" s="493"/>
      <c r="AP6" s="493"/>
      <c r="AQ6" s="495"/>
      <c r="AR6" s="277"/>
      <c r="AS6" s="492" t="s">
        <v>55</v>
      </c>
      <c r="AT6" s="493"/>
      <c r="AU6" s="493"/>
      <c r="AV6" s="493"/>
      <c r="AW6" s="495"/>
      <c r="AX6" s="277"/>
      <c r="AY6" s="492" t="s">
        <v>56</v>
      </c>
      <c r="AZ6" s="493"/>
      <c r="BA6" s="493"/>
      <c r="BB6" s="493"/>
      <c r="BC6" s="495"/>
      <c r="BD6" s="277"/>
      <c r="BE6" s="492" t="s">
        <v>57</v>
      </c>
      <c r="BF6" s="493"/>
      <c r="BG6" s="493"/>
      <c r="BH6" s="493"/>
      <c r="BI6" s="495"/>
      <c r="BJ6" s="277"/>
      <c r="BK6" s="492" t="s">
        <v>58</v>
      </c>
      <c r="BL6" s="493"/>
      <c r="BM6" s="493"/>
      <c r="BN6" s="493"/>
      <c r="BO6" s="495"/>
      <c r="BP6" s="277"/>
      <c r="BQ6" s="492" t="s">
        <v>59</v>
      </c>
      <c r="BR6" s="493"/>
      <c r="BS6" s="493"/>
      <c r="BT6" s="493"/>
      <c r="BU6" s="495"/>
      <c r="BV6" s="277"/>
      <c r="BW6" s="458" t="s">
        <v>60</v>
      </c>
      <c r="BX6" s="459"/>
      <c r="BY6" s="459"/>
      <c r="BZ6" s="460"/>
      <c r="CA6" s="460"/>
      <c r="CB6" s="278"/>
    </row>
    <row r="7" spans="1:80" s="116" customFormat="1" ht="15" customHeight="1">
      <c r="A7" s="114"/>
      <c r="B7" s="115"/>
      <c r="C7" s="279" t="s">
        <v>148</v>
      </c>
      <c r="D7" s="454" t="s">
        <v>151</v>
      </c>
      <c r="E7" s="455"/>
      <c r="F7" s="456" t="s">
        <v>149</v>
      </c>
      <c r="G7" s="457"/>
      <c r="H7" s="280" t="s">
        <v>118</v>
      </c>
      <c r="I7" s="279" t="s">
        <v>148</v>
      </c>
      <c r="J7" s="454" t="s">
        <v>151</v>
      </c>
      <c r="K7" s="455"/>
      <c r="L7" s="456" t="s">
        <v>149</v>
      </c>
      <c r="M7" s="457"/>
      <c r="N7" s="280" t="s">
        <v>118</v>
      </c>
      <c r="O7" s="279" t="s">
        <v>148</v>
      </c>
      <c r="P7" s="454" t="s">
        <v>151</v>
      </c>
      <c r="Q7" s="455"/>
      <c r="R7" s="456" t="s">
        <v>149</v>
      </c>
      <c r="S7" s="457"/>
      <c r="T7" s="280" t="s">
        <v>118</v>
      </c>
      <c r="U7" s="279" t="s">
        <v>148</v>
      </c>
      <c r="V7" s="454" t="s">
        <v>151</v>
      </c>
      <c r="W7" s="455"/>
      <c r="X7" s="456" t="s">
        <v>149</v>
      </c>
      <c r="Y7" s="457"/>
      <c r="Z7" s="280" t="s">
        <v>118</v>
      </c>
      <c r="AA7" s="279" t="s">
        <v>148</v>
      </c>
      <c r="AB7" s="454" t="s">
        <v>151</v>
      </c>
      <c r="AC7" s="455"/>
      <c r="AD7" s="456" t="s">
        <v>149</v>
      </c>
      <c r="AE7" s="457"/>
      <c r="AF7" s="280" t="s">
        <v>118</v>
      </c>
      <c r="AG7" s="279" t="s">
        <v>148</v>
      </c>
      <c r="AH7" s="454" t="s">
        <v>151</v>
      </c>
      <c r="AI7" s="455"/>
      <c r="AJ7" s="456" t="s">
        <v>149</v>
      </c>
      <c r="AK7" s="457"/>
      <c r="AL7" s="280" t="s">
        <v>118</v>
      </c>
      <c r="AM7" s="279" t="s">
        <v>148</v>
      </c>
      <c r="AN7" s="454" t="s">
        <v>151</v>
      </c>
      <c r="AO7" s="455"/>
      <c r="AP7" s="456" t="s">
        <v>149</v>
      </c>
      <c r="AQ7" s="457"/>
      <c r="AR7" s="280" t="s">
        <v>118</v>
      </c>
      <c r="AS7" s="279" t="s">
        <v>148</v>
      </c>
      <c r="AT7" s="454" t="s">
        <v>151</v>
      </c>
      <c r="AU7" s="455"/>
      <c r="AV7" s="456" t="s">
        <v>149</v>
      </c>
      <c r="AW7" s="457"/>
      <c r="AX7" s="280" t="s">
        <v>118</v>
      </c>
      <c r="AY7" s="279" t="s">
        <v>148</v>
      </c>
      <c r="AZ7" s="454" t="s">
        <v>151</v>
      </c>
      <c r="BA7" s="455"/>
      <c r="BB7" s="456" t="s">
        <v>149</v>
      </c>
      <c r="BC7" s="457"/>
      <c r="BD7" s="280" t="s">
        <v>118</v>
      </c>
      <c r="BE7" s="279" t="s">
        <v>148</v>
      </c>
      <c r="BF7" s="454" t="s">
        <v>151</v>
      </c>
      <c r="BG7" s="455"/>
      <c r="BH7" s="456" t="s">
        <v>149</v>
      </c>
      <c r="BI7" s="457"/>
      <c r="BJ7" s="280" t="s">
        <v>118</v>
      </c>
      <c r="BK7" s="279" t="s">
        <v>148</v>
      </c>
      <c r="BL7" s="454" t="s">
        <v>151</v>
      </c>
      <c r="BM7" s="455"/>
      <c r="BN7" s="456" t="s">
        <v>149</v>
      </c>
      <c r="BO7" s="457"/>
      <c r="BP7" s="280" t="s">
        <v>118</v>
      </c>
      <c r="BQ7" s="279" t="s">
        <v>148</v>
      </c>
      <c r="BR7" s="454" t="s">
        <v>151</v>
      </c>
      <c r="BS7" s="455"/>
      <c r="BT7" s="456" t="s">
        <v>149</v>
      </c>
      <c r="BU7" s="457"/>
      <c r="BV7" s="280" t="s">
        <v>118</v>
      </c>
      <c r="BW7" s="279" t="s">
        <v>148</v>
      </c>
      <c r="BX7" s="454" t="s">
        <v>151</v>
      </c>
      <c r="BY7" s="455"/>
      <c r="BZ7" s="456" t="s">
        <v>149</v>
      </c>
      <c r="CA7" s="457"/>
      <c r="CB7" s="281" t="s">
        <v>118</v>
      </c>
    </row>
    <row r="8" spans="1:81" ht="25.5">
      <c r="A8" s="282"/>
      <c r="B8" s="283"/>
      <c r="C8" s="284" t="s">
        <v>16</v>
      </c>
      <c r="D8" s="117" t="s">
        <v>16</v>
      </c>
      <c r="E8" s="117" t="s">
        <v>17</v>
      </c>
      <c r="F8" s="285" t="s">
        <v>61</v>
      </c>
      <c r="G8" s="224" t="s">
        <v>20</v>
      </c>
      <c r="H8" s="286" t="s">
        <v>119</v>
      </c>
      <c r="I8" s="287" t="s">
        <v>16</v>
      </c>
      <c r="J8" s="117" t="s">
        <v>16</v>
      </c>
      <c r="K8" s="117" t="s">
        <v>17</v>
      </c>
      <c r="L8" s="285" t="s">
        <v>61</v>
      </c>
      <c r="M8" s="224" t="s">
        <v>20</v>
      </c>
      <c r="N8" s="286" t="s">
        <v>119</v>
      </c>
      <c r="O8" s="284" t="s">
        <v>16</v>
      </c>
      <c r="P8" s="117" t="s">
        <v>16</v>
      </c>
      <c r="Q8" s="117" t="s">
        <v>17</v>
      </c>
      <c r="R8" s="285" t="s">
        <v>61</v>
      </c>
      <c r="S8" s="224" t="s">
        <v>20</v>
      </c>
      <c r="T8" s="286" t="s">
        <v>119</v>
      </c>
      <c r="U8" s="284" t="s">
        <v>16</v>
      </c>
      <c r="V8" s="117" t="s">
        <v>16</v>
      </c>
      <c r="W8" s="117" t="s">
        <v>17</v>
      </c>
      <c r="X8" s="285" t="s">
        <v>61</v>
      </c>
      <c r="Y8" s="224" t="s">
        <v>20</v>
      </c>
      <c r="Z8" s="286" t="s">
        <v>119</v>
      </c>
      <c r="AA8" s="284" t="s">
        <v>16</v>
      </c>
      <c r="AB8" s="117" t="s">
        <v>16</v>
      </c>
      <c r="AC8" s="117" t="s">
        <v>17</v>
      </c>
      <c r="AD8" s="285" t="s">
        <v>61</v>
      </c>
      <c r="AE8" s="224" t="s">
        <v>20</v>
      </c>
      <c r="AF8" s="286" t="s">
        <v>119</v>
      </c>
      <c r="AG8" s="284" t="s">
        <v>16</v>
      </c>
      <c r="AH8" s="117" t="s">
        <v>16</v>
      </c>
      <c r="AI8" s="117" t="s">
        <v>17</v>
      </c>
      <c r="AJ8" s="285" t="s">
        <v>61</v>
      </c>
      <c r="AK8" s="224" t="s">
        <v>20</v>
      </c>
      <c r="AL8" s="286" t="s">
        <v>119</v>
      </c>
      <c r="AM8" s="284" t="s">
        <v>16</v>
      </c>
      <c r="AN8" s="117" t="s">
        <v>16</v>
      </c>
      <c r="AO8" s="117" t="s">
        <v>17</v>
      </c>
      <c r="AP8" s="285" t="s">
        <v>61</v>
      </c>
      <c r="AQ8" s="224" t="s">
        <v>20</v>
      </c>
      <c r="AR8" s="286" t="s">
        <v>119</v>
      </c>
      <c r="AS8" s="284" t="s">
        <v>16</v>
      </c>
      <c r="AT8" s="117" t="s">
        <v>16</v>
      </c>
      <c r="AU8" s="117" t="s">
        <v>17</v>
      </c>
      <c r="AV8" s="285" t="s">
        <v>61</v>
      </c>
      <c r="AW8" s="224" t="s">
        <v>20</v>
      </c>
      <c r="AX8" s="286" t="s">
        <v>119</v>
      </c>
      <c r="AY8" s="284" t="s">
        <v>16</v>
      </c>
      <c r="AZ8" s="117" t="s">
        <v>16</v>
      </c>
      <c r="BA8" s="117" t="s">
        <v>17</v>
      </c>
      <c r="BB8" s="285" t="s">
        <v>61</v>
      </c>
      <c r="BC8" s="224" t="s">
        <v>20</v>
      </c>
      <c r="BD8" s="286" t="s">
        <v>119</v>
      </c>
      <c r="BE8" s="284" t="s">
        <v>16</v>
      </c>
      <c r="BF8" s="117" t="s">
        <v>16</v>
      </c>
      <c r="BG8" s="117" t="s">
        <v>17</v>
      </c>
      <c r="BH8" s="285" t="s">
        <v>61</v>
      </c>
      <c r="BI8" s="224" t="s">
        <v>20</v>
      </c>
      <c r="BJ8" s="286" t="s">
        <v>119</v>
      </c>
      <c r="BK8" s="284" t="s">
        <v>16</v>
      </c>
      <c r="BL8" s="117" t="s">
        <v>16</v>
      </c>
      <c r="BM8" s="117" t="s">
        <v>17</v>
      </c>
      <c r="BN8" s="285" t="s">
        <v>61</v>
      </c>
      <c r="BO8" s="224" t="s">
        <v>20</v>
      </c>
      <c r="BP8" s="286" t="s">
        <v>119</v>
      </c>
      <c r="BQ8" s="284" t="s">
        <v>16</v>
      </c>
      <c r="BR8" s="117" t="s">
        <v>16</v>
      </c>
      <c r="BS8" s="117" t="s">
        <v>17</v>
      </c>
      <c r="BT8" s="285" t="s">
        <v>61</v>
      </c>
      <c r="BU8" s="224" t="s">
        <v>20</v>
      </c>
      <c r="BV8" s="286" t="s">
        <v>119</v>
      </c>
      <c r="BW8" s="284" t="s">
        <v>16</v>
      </c>
      <c r="BX8" s="117" t="s">
        <v>16</v>
      </c>
      <c r="BY8" s="117" t="s">
        <v>17</v>
      </c>
      <c r="BZ8" s="285" t="s">
        <v>61</v>
      </c>
      <c r="CA8" s="285" t="s">
        <v>20</v>
      </c>
      <c r="CB8" s="288" t="s">
        <v>119</v>
      </c>
      <c r="CC8" s="289"/>
    </row>
    <row r="9" spans="1:80" s="298" customFormat="1" ht="12.75">
      <c r="A9" s="290" t="s">
        <v>62</v>
      </c>
      <c r="B9" s="291"/>
      <c r="C9" s="292">
        <f>SUM(C10:C18)</f>
        <v>102521.2</v>
      </c>
      <c r="D9" s="293">
        <f>SUM(D10:D18)</f>
        <v>66969.79999999999</v>
      </c>
      <c r="E9" s="294">
        <f>SUM(E10:E18)</f>
        <v>71633.79999999999</v>
      </c>
      <c r="F9" s="293">
        <f>E9-D9</f>
        <v>4664</v>
      </c>
      <c r="G9" s="295">
        <f aca="true" t="shared" si="0" ref="G9:G33">E9/D9%</f>
        <v>106.96433317704398</v>
      </c>
      <c r="H9" s="296">
        <f aca="true" t="shared" si="1" ref="H9:H15">E9/C9%</f>
        <v>69.87218253395395</v>
      </c>
      <c r="I9" s="294">
        <f>SUM(I10:I18)</f>
        <v>4077.2</v>
      </c>
      <c r="J9" s="293">
        <f>SUM(J10:J18)</f>
        <v>2469.6</v>
      </c>
      <c r="K9" s="294">
        <f>SUM(K10:K18)</f>
        <v>2497.4999999999995</v>
      </c>
      <c r="L9" s="293">
        <f aca="true" t="shared" si="2" ref="L9:L32">K9-J9</f>
        <v>27.899999999999636</v>
      </c>
      <c r="M9" s="295">
        <f aca="true" t="shared" si="3" ref="M9:M16">K9/J9%</f>
        <v>101.12973760932944</v>
      </c>
      <c r="N9" s="296">
        <f>K9/I9%</f>
        <v>61.25527322672421</v>
      </c>
      <c r="O9" s="292">
        <f>SUM(O10:O18)</f>
        <v>5572.7</v>
      </c>
      <c r="P9" s="293">
        <f>SUM(P10:P18)</f>
        <v>4554.499999999999</v>
      </c>
      <c r="Q9" s="294">
        <f>SUM(Q10:Q18)</f>
        <v>5579.099999999999</v>
      </c>
      <c r="R9" s="293">
        <f aca="true" t="shared" si="4" ref="R9:R32">Q9-P9</f>
        <v>1024.6000000000004</v>
      </c>
      <c r="S9" s="295">
        <f aca="true" t="shared" si="5" ref="S9:S16">Q9/P9%</f>
        <v>122.49643210012078</v>
      </c>
      <c r="T9" s="296">
        <f>Q9/O9%</f>
        <v>100.11484558651999</v>
      </c>
      <c r="U9" s="292">
        <f>SUM(U10:U18)</f>
        <v>8374.800000000001</v>
      </c>
      <c r="V9" s="293">
        <f>SUM(V10:V18)</f>
        <v>4286.5999999999985</v>
      </c>
      <c r="W9" s="294">
        <f>SUM(W10:W18)</f>
        <v>4242.000000000001</v>
      </c>
      <c r="X9" s="293">
        <f aca="true" t="shared" si="6" ref="X9:X32">W9-V9</f>
        <v>-44.599999999997635</v>
      </c>
      <c r="Y9" s="295">
        <f aca="true" t="shared" si="7" ref="Y9:Y16">W9/V9%</f>
        <v>98.95954836000566</v>
      </c>
      <c r="Z9" s="296">
        <f>W9/U9%</f>
        <v>50.651955867602815</v>
      </c>
      <c r="AA9" s="292">
        <f>SUM(AA10:AA18)</f>
        <v>5700.900000000001</v>
      </c>
      <c r="AB9" s="293">
        <f>SUM(AB10:AB18)</f>
        <v>2189.4</v>
      </c>
      <c r="AC9" s="293">
        <f>SUM(AC10:AC18)</f>
        <v>3434.1000000000004</v>
      </c>
      <c r="AD9" s="293">
        <f aca="true" t="shared" si="8" ref="AD9:AD32">AC9-AB9</f>
        <v>1244.7000000000003</v>
      </c>
      <c r="AE9" s="295">
        <f aca="true" t="shared" si="9" ref="AE9:AE15">AC9/AB9%</f>
        <v>156.8511921074267</v>
      </c>
      <c r="AF9" s="296">
        <f>AC9/AA9%</f>
        <v>60.23785718044519</v>
      </c>
      <c r="AG9" s="292">
        <f>SUM(AG10:AG18)</f>
        <v>3970.7000000000003</v>
      </c>
      <c r="AH9" s="293">
        <f>SUM(AH10:AH18)</f>
        <v>1895.8000000000002</v>
      </c>
      <c r="AI9" s="294">
        <f>SUM(AI10:AI18)</f>
        <v>2027.5</v>
      </c>
      <c r="AJ9" s="293">
        <f aca="true" t="shared" si="10" ref="AJ9:AJ32">AI9-AH9</f>
        <v>131.69999999999982</v>
      </c>
      <c r="AK9" s="295">
        <f aca="true" t="shared" si="11" ref="AK9:AK16">AI9/AH9%</f>
        <v>106.94693533073108</v>
      </c>
      <c r="AL9" s="296">
        <f>AI9/AG9%</f>
        <v>51.06152567557358</v>
      </c>
      <c r="AM9" s="292">
        <f>SUM(AM10:AM18)</f>
        <v>4610.599999999999</v>
      </c>
      <c r="AN9" s="293">
        <f>SUM(AN10:AN18)</f>
        <v>1902.2000000000003</v>
      </c>
      <c r="AO9" s="294">
        <f>SUM(AO10:AO18)</f>
        <v>2008.7</v>
      </c>
      <c r="AP9" s="293">
        <f aca="true" t="shared" si="12" ref="AP9:AP32">AO9-AN9</f>
        <v>106.49999999999977</v>
      </c>
      <c r="AQ9" s="295">
        <f aca="true" t="shared" si="13" ref="AQ9:AQ16">AO9/AN9%</f>
        <v>105.59878035958363</v>
      </c>
      <c r="AR9" s="296">
        <f>AO9/AM9%</f>
        <v>43.5669977877066</v>
      </c>
      <c r="AS9" s="292">
        <f>SUM(AS10:AS18)</f>
        <v>3350.4000000000005</v>
      </c>
      <c r="AT9" s="293">
        <f>SUM(AT10:AT18)</f>
        <v>1628.6</v>
      </c>
      <c r="AU9" s="294">
        <f>SUM(AU10:AU18)</f>
        <v>1628.6000000000001</v>
      </c>
      <c r="AV9" s="293">
        <f aca="true" t="shared" si="14" ref="AV9:AV32">AU9-AT9</f>
        <v>0</v>
      </c>
      <c r="AW9" s="295">
        <f aca="true" t="shared" si="15" ref="AW9:AW16">AU9/AT9%</f>
        <v>100.00000000000003</v>
      </c>
      <c r="AX9" s="296">
        <f>AU9/AS9%</f>
        <v>48.609121298949376</v>
      </c>
      <c r="AY9" s="292">
        <f>SUM(AY10:AY18)</f>
        <v>8086.0999999999985</v>
      </c>
      <c r="AZ9" s="293">
        <f>SUM(AZ10:AZ18)</f>
        <v>5364.5</v>
      </c>
      <c r="BA9" s="294">
        <f>SUM(BA10:BA18)</f>
        <v>6475.2</v>
      </c>
      <c r="BB9" s="293">
        <f aca="true" t="shared" si="16" ref="BB9:BB31">BA9-AZ9</f>
        <v>1110.6999999999998</v>
      </c>
      <c r="BC9" s="295">
        <f>BA9/AZ9%</f>
        <v>120.70463230496783</v>
      </c>
      <c r="BD9" s="296">
        <f>BA9/AY9%</f>
        <v>80.07815881574555</v>
      </c>
      <c r="BE9" s="292">
        <f>SUM(BE10:BE18)</f>
        <v>2241.1</v>
      </c>
      <c r="BF9" s="293">
        <f>SUM(BF10:BF18)</f>
        <v>1106.8999999999999</v>
      </c>
      <c r="BG9" s="294">
        <f>SUM(BG10:BG18)</f>
        <v>758</v>
      </c>
      <c r="BH9" s="293">
        <f aca="true" t="shared" si="17" ref="BH9:BH31">BG9-BF9</f>
        <v>-348.89999999999986</v>
      </c>
      <c r="BI9" s="295">
        <f aca="true" t="shared" si="18" ref="BI9:BI16">BG9/BF9%</f>
        <v>68.47953744692384</v>
      </c>
      <c r="BJ9" s="296">
        <f>BG9/BE9%</f>
        <v>33.8226763642854</v>
      </c>
      <c r="BK9" s="292">
        <f>SUM(BK10:BK18)</f>
        <v>3923.4999999999995</v>
      </c>
      <c r="BL9" s="293">
        <f>SUM(BL10:BL18)</f>
        <v>1994.0000000000002</v>
      </c>
      <c r="BM9" s="294">
        <f>SUM(BM10:BM18)</f>
        <v>2086.6</v>
      </c>
      <c r="BN9" s="293">
        <f aca="true" t="shared" si="19" ref="BN9:BN31">BM9-BL9</f>
        <v>92.59999999999968</v>
      </c>
      <c r="BO9" s="295">
        <f aca="true" t="shared" si="20" ref="BO9:BO16">BM9/BL9%</f>
        <v>104.64393179538615</v>
      </c>
      <c r="BP9" s="296">
        <f>BM9/BK9%</f>
        <v>53.18210781190265</v>
      </c>
      <c r="BQ9" s="292">
        <f>SUM(BQ10:BQ18)</f>
        <v>11267.600000000002</v>
      </c>
      <c r="BR9" s="293">
        <f>SUM(BR10:BR18)</f>
        <v>6095.8</v>
      </c>
      <c r="BS9" s="294">
        <f>SUM(BS10:BS18)</f>
        <v>7438.5</v>
      </c>
      <c r="BT9" s="293">
        <f>BS9-BR9</f>
        <v>1342.6999999999998</v>
      </c>
      <c r="BU9" s="295">
        <f aca="true" t="shared" si="21" ref="BU9:BU16">BS9/BR9%</f>
        <v>122.02664129400571</v>
      </c>
      <c r="BV9" s="296">
        <f>BS9/BQ9%</f>
        <v>66.01672050836025</v>
      </c>
      <c r="BW9" s="292">
        <f>C9+I9+O9+U9+AA9+AG9+AM9+AS9+AY9+BE9+BK9+BQ9</f>
        <v>163696.8</v>
      </c>
      <c r="BX9" s="293">
        <f>D9+J9+P9+V9+AB9+AH9+AN9+AT9+AZ9+BF9+BL9+BR9</f>
        <v>100457.7</v>
      </c>
      <c r="BY9" s="293">
        <f>E9+K9+Q9+W9+AC9+AI9+AO9+AU9+BA9+BG9+BM9+BS9</f>
        <v>109809.6</v>
      </c>
      <c r="BZ9" s="293">
        <f>BY9-BX9</f>
        <v>9351.900000000009</v>
      </c>
      <c r="CA9" s="293">
        <f>BY9/BX9%</f>
        <v>109.30929137338403</v>
      </c>
      <c r="CB9" s="297">
        <f>BY9/BW9%</f>
        <v>67.08109138358235</v>
      </c>
    </row>
    <row r="10" spans="1:81" ht="12.75">
      <c r="A10" s="118" t="s">
        <v>63</v>
      </c>
      <c r="B10" s="119"/>
      <c r="C10" s="299">
        <v>56574.3</v>
      </c>
      <c r="D10" s="120">
        <v>42250.1</v>
      </c>
      <c r="E10" s="300">
        <v>42861.7</v>
      </c>
      <c r="F10" s="301">
        <f aca="true" t="shared" si="22" ref="F10:F31">E10-D10</f>
        <v>611.5999999999985</v>
      </c>
      <c r="G10" s="371">
        <f t="shared" si="0"/>
        <v>101.44757053829458</v>
      </c>
      <c r="H10" s="302">
        <f t="shared" si="1"/>
        <v>75.76178582854757</v>
      </c>
      <c r="I10" s="303">
        <v>635</v>
      </c>
      <c r="J10" s="120">
        <v>522</v>
      </c>
      <c r="K10" s="300">
        <v>525.6</v>
      </c>
      <c r="L10" s="301">
        <f t="shared" si="2"/>
        <v>3.6000000000000227</v>
      </c>
      <c r="M10" s="304">
        <f t="shared" si="3"/>
        <v>100.68965517241381</v>
      </c>
      <c r="N10" s="302">
        <f>K10/I10%</f>
        <v>82.7716535433071</v>
      </c>
      <c r="O10" s="299">
        <v>1340.2</v>
      </c>
      <c r="P10" s="120">
        <v>1072</v>
      </c>
      <c r="Q10" s="300">
        <v>1170.7</v>
      </c>
      <c r="R10" s="301">
        <f t="shared" si="4"/>
        <v>98.70000000000005</v>
      </c>
      <c r="S10" s="304">
        <f>Q10/P10%</f>
        <v>109.2070895522388</v>
      </c>
      <c r="T10" s="302">
        <f>Q10/O10%</f>
        <v>87.35263393523354</v>
      </c>
      <c r="U10" s="299">
        <v>4406.5</v>
      </c>
      <c r="V10" s="120">
        <v>3007.7</v>
      </c>
      <c r="W10" s="300">
        <v>2990.6</v>
      </c>
      <c r="X10" s="301">
        <f t="shared" si="6"/>
        <v>-17.09999999999991</v>
      </c>
      <c r="Y10" s="304">
        <f t="shared" si="7"/>
        <v>99.43145925457992</v>
      </c>
      <c r="Z10" s="302">
        <f>W10/U10%</f>
        <v>67.86792238738228</v>
      </c>
      <c r="AA10" s="299">
        <v>926.9</v>
      </c>
      <c r="AB10" s="120">
        <v>830.9</v>
      </c>
      <c r="AC10" s="300">
        <v>711.5</v>
      </c>
      <c r="AD10" s="301">
        <f t="shared" si="8"/>
        <v>-119.39999999999998</v>
      </c>
      <c r="AE10" s="304">
        <f t="shared" si="9"/>
        <v>85.63003971597064</v>
      </c>
      <c r="AF10" s="302">
        <f>AC10/AA10%</f>
        <v>76.76124716797929</v>
      </c>
      <c r="AG10" s="299">
        <v>908</v>
      </c>
      <c r="AH10" s="120">
        <v>645</v>
      </c>
      <c r="AI10" s="300">
        <v>883.5</v>
      </c>
      <c r="AJ10" s="301">
        <f t="shared" si="10"/>
        <v>238.5</v>
      </c>
      <c r="AK10" s="304">
        <f t="shared" si="11"/>
        <v>136.97674418604652</v>
      </c>
      <c r="AL10" s="302">
        <f>AI10/AG10%</f>
        <v>97.30176211453744</v>
      </c>
      <c r="AM10" s="299">
        <v>551.5</v>
      </c>
      <c r="AN10" s="120">
        <v>473</v>
      </c>
      <c r="AO10" s="300">
        <v>512.4</v>
      </c>
      <c r="AP10" s="301">
        <f t="shared" si="12"/>
        <v>39.39999999999998</v>
      </c>
      <c r="AQ10" s="304">
        <f t="shared" si="13"/>
        <v>108.32980972515855</v>
      </c>
      <c r="AR10" s="302">
        <f>AO10/AM10%</f>
        <v>92.9102447869447</v>
      </c>
      <c r="AS10" s="299">
        <v>687.8</v>
      </c>
      <c r="AT10" s="120">
        <v>470.7</v>
      </c>
      <c r="AU10" s="300">
        <v>470.7</v>
      </c>
      <c r="AV10" s="301">
        <f t="shared" si="14"/>
        <v>0</v>
      </c>
      <c r="AW10" s="304">
        <f t="shared" si="15"/>
        <v>100</v>
      </c>
      <c r="AX10" s="302">
        <f>AU10/AS10%</f>
        <v>68.43559174178542</v>
      </c>
      <c r="AY10" s="299">
        <v>1775.1</v>
      </c>
      <c r="AZ10" s="120">
        <v>1478.5</v>
      </c>
      <c r="BA10" s="300">
        <v>1551.1</v>
      </c>
      <c r="BB10" s="301">
        <f t="shared" si="16"/>
        <v>72.59999999999991</v>
      </c>
      <c r="BC10" s="304">
        <f>BA10/AZ10%</f>
        <v>104.91038214406493</v>
      </c>
      <c r="BD10" s="302">
        <f>BA10/AY10%</f>
        <v>87.38099262013408</v>
      </c>
      <c r="BE10" s="299">
        <v>365.8</v>
      </c>
      <c r="BF10" s="120">
        <v>285.1</v>
      </c>
      <c r="BG10" s="300">
        <v>322.4</v>
      </c>
      <c r="BH10" s="301">
        <f t="shared" si="17"/>
        <v>37.299999999999955</v>
      </c>
      <c r="BI10" s="304">
        <f t="shared" si="18"/>
        <v>113.08312872676251</v>
      </c>
      <c r="BJ10" s="302">
        <f>BG10/BE10%</f>
        <v>88.13559322033898</v>
      </c>
      <c r="BK10" s="299">
        <v>865.6</v>
      </c>
      <c r="BL10" s="120">
        <v>690</v>
      </c>
      <c r="BM10" s="300">
        <v>708</v>
      </c>
      <c r="BN10" s="496" t="s">
        <v>106</v>
      </c>
      <c r="BO10" s="304">
        <f t="shared" si="20"/>
        <v>102.6086956521739</v>
      </c>
      <c r="BP10" s="302">
        <f>BM10/BK10%</f>
        <v>81.79297597042513</v>
      </c>
      <c r="BQ10" s="299">
        <v>3163.4</v>
      </c>
      <c r="BR10" s="120">
        <v>2184.2</v>
      </c>
      <c r="BS10" s="300">
        <v>2277.9</v>
      </c>
      <c r="BT10" s="301">
        <f>BS10-BR10</f>
        <v>93.70000000000027</v>
      </c>
      <c r="BU10" s="304">
        <f t="shared" si="21"/>
        <v>104.28990019229009</v>
      </c>
      <c r="BV10" s="302">
        <f>BS10/BQ10%</f>
        <v>72.0079661124107</v>
      </c>
      <c r="BW10" s="305">
        <f aca="true" t="shared" si="23" ref="BW10:BY17">C10+I10+O10+U10+AA10+AG10+AM10+AS10+AY10+BE10+BK10+BQ10</f>
        <v>72200.1</v>
      </c>
      <c r="BX10" s="221">
        <f t="shared" si="23"/>
        <v>53909.19999999999</v>
      </c>
      <c r="BY10" s="221">
        <f t="shared" si="23"/>
        <v>54986.09999999999</v>
      </c>
      <c r="BZ10" s="301">
        <f>BY10-BX10</f>
        <v>1076.9000000000015</v>
      </c>
      <c r="CA10" s="301">
        <f>BY10/BX10%</f>
        <v>101.99761821729872</v>
      </c>
      <c r="CB10" s="306">
        <f>BY10/BW10%</f>
        <v>76.1579277591028</v>
      </c>
      <c r="CC10" s="307"/>
    </row>
    <row r="11" spans="1:81" ht="12.75">
      <c r="A11" s="118" t="s">
        <v>64</v>
      </c>
      <c r="B11" s="119"/>
      <c r="C11" s="299">
        <v>2047.7</v>
      </c>
      <c r="D11" s="120">
        <v>1525.4</v>
      </c>
      <c r="E11" s="300">
        <v>1609.8</v>
      </c>
      <c r="F11" s="301">
        <f t="shared" si="22"/>
        <v>84.39999999999986</v>
      </c>
      <c r="G11" s="371">
        <f t="shared" si="0"/>
        <v>105.53297495738822</v>
      </c>
      <c r="H11" s="302"/>
      <c r="I11" s="303"/>
      <c r="J11" s="120"/>
      <c r="K11" s="300"/>
      <c r="L11" s="301">
        <f t="shared" si="2"/>
        <v>0</v>
      </c>
      <c r="M11" s="304"/>
      <c r="N11" s="302"/>
      <c r="O11" s="299">
        <v>0</v>
      </c>
      <c r="P11" s="120"/>
      <c r="Q11" s="300"/>
      <c r="R11" s="301">
        <f t="shared" si="4"/>
        <v>0</v>
      </c>
      <c r="S11" s="304"/>
      <c r="T11" s="302"/>
      <c r="U11" s="299"/>
      <c r="V11" s="120"/>
      <c r="W11" s="300"/>
      <c r="X11" s="301"/>
      <c r="Y11" s="304"/>
      <c r="Z11" s="302"/>
      <c r="AA11" s="299"/>
      <c r="AB11" s="120"/>
      <c r="AC11" s="300"/>
      <c r="AD11" s="301"/>
      <c r="AE11" s="304"/>
      <c r="AF11" s="302"/>
      <c r="AG11" s="299"/>
      <c r="AH11" s="120"/>
      <c r="AI11" s="300"/>
      <c r="AJ11" s="301">
        <f t="shared" si="10"/>
        <v>0</v>
      </c>
      <c r="AK11" s="304"/>
      <c r="AL11" s="302"/>
      <c r="AM11" s="299"/>
      <c r="AN11" s="120"/>
      <c r="AO11" s="300"/>
      <c r="AP11" s="301"/>
      <c r="AQ11" s="304"/>
      <c r="AR11" s="302"/>
      <c r="AS11" s="299"/>
      <c r="AT11" s="120"/>
      <c r="AU11" s="300"/>
      <c r="AV11" s="301">
        <f t="shared" si="14"/>
        <v>0</v>
      </c>
      <c r="AW11" s="304"/>
      <c r="AX11" s="302"/>
      <c r="AY11" s="299"/>
      <c r="AZ11" s="120"/>
      <c r="BA11" s="300"/>
      <c r="BB11" s="301">
        <f t="shared" si="16"/>
        <v>0</v>
      </c>
      <c r="BC11" s="304"/>
      <c r="BD11" s="302"/>
      <c r="BE11" s="299"/>
      <c r="BF11" s="120"/>
      <c r="BG11" s="300"/>
      <c r="BH11" s="301"/>
      <c r="BI11" s="304"/>
      <c r="BJ11" s="302"/>
      <c r="BK11" s="299"/>
      <c r="BL11" s="120"/>
      <c r="BM11" s="300"/>
      <c r="BN11" s="301"/>
      <c r="BO11" s="304"/>
      <c r="BP11" s="302"/>
      <c r="BQ11" s="299">
        <v>785.4</v>
      </c>
      <c r="BR11" s="120">
        <v>579.5</v>
      </c>
      <c r="BS11" s="300">
        <v>617.4</v>
      </c>
      <c r="BT11" s="301">
        <f>BS11-BR11</f>
        <v>37.89999999999998</v>
      </c>
      <c r="BU11" s="304">
        <f t="shared" si="21"/>
        <v>106.54012079378775</v>
      </c>
      <c r="BV11" s="302"/>
      <c r="BW11" s="305">
        <f t="shared" si="23"/>
        <v>2833.1</v>
      </c>
      <c r="BX11" s="221">
        <f t="shared" si="23"/>
        <v>2104.9</v>
      </c>
      <c r="BY11" s="221">
        <f t="shared" si="23"/>
        <v>2227.2</v>
      </c>
      <c r="BZ11" s="301">
        <f>BY11-BX11</f>
        <v>122.29999999999973</v>
      </c>
      <c r="CA11" s="301">
        <f>BY11/BX11%</f>
        <v>105.81025226851631</v>
      </c>
      <c r="CB11" s="306">
        <f>BY11/BW11%</f>
        <v>78.61353287917828</v>
      </c>
      <c r="CC11" s="307"/>
    </row>
    <row r="12" spans="1:81" ht="24.75" customHeight="1" hidden="1">
      <c r="A12" s="121" t="s">
        <v>24</v>
      </c>
      <c r="B12" s="119"/>
      <c r="C12" s="299"/>
      <c r="D12" s="120"/>
      <c r="E12" s="300"/>
      <c r="F12" s="301">
        <f t="shared" si="22"/>
        <v>0</v>
      </c>
      <c r="G12" s="371" t="e">
        <f t="shared" si="0"/>
        <v>#DIV/0!</v>
      </c>
      <c r="H12" s="302" t="e">
        <f t="shared" si="1"/>
        <v>#DIV/0!</v>
      </c>
      <c r="I12" s="303"/>
      <c r="J12" s="120"/>
      <c r="K12" s="300"/>
      <c r="L12" s="301">
        <f t="shared" si="2"/>
        <v>0</v>
      </c>
      <c r="M12" s="304" t="e">
        <f t="shared" si="3"/>
        <v>#DIV/0!</v>
      </c>
      <c r="N12" s="302" t="e">
        <f aca="true" t="shared" si="24" ref="N12:N33">K12/I12%</f>
        <v>#DIV/0!</v>
      </c>
      <c r="O12" s="299"/>
      <c r="P12" s="120"/>
      <c r="Q12" s="300"/>
      <c r="R12" s="301">
        <f t="shared" si="4"/>
        <v>0</v>
      </c>
      <c r="S12" s="304" t="e">
        <f>Q12/P12%</f>
        <v>#DIV/0!</v>
      </c>
      <c r="T12" s="302" t="e">
        <f>Q12/O12%</f>
        <v>#DIV/0!</v>
      </c>
      <c r="U12" s="299"/>
      <c r="V12" s="120"/>
      <c r="W12" s="300"/>
      <c r="X12" s="301">
        <f t="shared" si="6"/>
        <v>0</v>
      </c>
      <c r="Y12" s="304" t="e">
        <f t="shared" si="7"/>
        <v>#DIV/0!</v>
      </c>
      <c r="Z12" s="302" t="e">
        <f>W12/U12%</f>
        <v>#DIV/0!</v>
      </c>
      <c r="AA12" s="299"/>
      <c r="AB12" s="120"/>
      <c r="AC12" s="300"/>
      <c r="AD12" s="301">
        <f t="shared" si="8"/>
        <v>0</v>
      </c>
      <c r="AE12" s="304" t="e">
        <f t="shared" si="9"/>
        <v>#DIV/0!</v>
      </c>
      <c r="AF12" s="302" t="e">
        <f aca="true" t="shared" si="25" ref="AF12:AF33">AC12/AA12%</f>
        <v>#DIV/0!</v>
      </c>
      <c r="AG12" s="299"/>
      <c r="AH12" s="120"/>
      <c r="AI12" s="300"/>
      <c r="AJ12" s="301">
        <f t="shared" si="10"/>
        <v>0</v>
      </c>
      <c r="AK12" s="304" t="e">
        <f t="shared" si="11"/>
        <v>#DIV/0!</v>
      </c>
      <c r="AL12" s="302" t="e">
        <f aca="true" t="shared" si="26" ref="AL12:AL33">AI12/AG12%</f>
        <v>#DIV/0!</v>
      </c>
      <c r="AM12" s="299"/>
      <c r="AN12" s="120"/>
      <c r="AO12" s="300"/>
      <c r="AP12" s="301">
        <f t="shared" si="12"/>
        <v>0</v>
      </c>
      <c r="AQ12" s="304" t="e">
        <f t="shared" si="13"/>
        <v>#DIV/0!</v>
      </c>
      <c r="AR12" s="302" t="e">
        <f aca="true" t="shared" si="27" ref="AR12:AR33">AO12/AM12%</f>
        <v>#DIV/0!</v>
      </c>
      <c r="AS12" s="299"/>
      <c r="AT12" s="120"/>
      <c r="AU12" s="300"/>
      <c r="AV12" s="301">
        <f t="shared" si="14"/>
        <v>0</v>
      </c>
      <c r="AW12" s="304" t="e">
        <f t="shared" si="15"/>
        <v>#DIV/0!</v>
      </c>
      <c r="AX12" s="302" t="e">
        <f aca="true" t="shared" si="28" ref="AX12:AX33">AU12/AS12%</f>
        <v>#DIV/0!</v>
      </c>
      <c r="AY12" s="299"/>
      <c r="AZ12" s="120"/>
      <c r="BA12" s="300"/>
      <c r="BB12" s="301">
        <f t="shared" si="16"/>
        <v>0</v>
      </c>
      <c r="BC12" s="304" t="e">
        <f>BA12/AZ12%</f>
        <v>#DIV/0!</v>
      </c>
      <c r="BD12" s="302" t="e">
        <f aca="true" t="shared" si="29" ref="BD12:BD33">BA12/AY12%</f>
        <v>#DIV/0!</v>
      </c>
      <c r="BE12" s="299"/>
      <c r="BF12" s="120"/>
      <c r="BG12" s="300"/>
      <c r="BH12" s="301">
        <f t="shared" si="17"/>
        <v>0</v>
      </c>
      <c r="BI12" s="304" t="e">
        <f t="shared" si="18"/>
        <v>#DIV/0!</v>
      </c>
      <c r="BJ12" s="302" t="e">
        <f aca="true" t="shared" si="30" ref="BJ12:BJ33">BG12/BE12%</f>
        <v>#DIV/0!</v>
      </c>
      <c r="BK12" s="299"/>
      <c r="BL12" s="120"/>
      <c r="BM12" s="300"/>
      <c r="BN12" s="301">
        <f t="shared" si="19"/>
        <v>0</v>
      </c>
      <c r="BO12" s="304" t="e">
        <f t="shared" si="20"/>
        <v>#DIV/0!</v>
      </c>
      <c r="BP12" s="302" t="e">
        <f aca="true" t="shared" si="31" ref="BP12:BP33">BM12/BK12%</f>
        <v>#DIV/0!</v>
      </c>
      <c r="BQ12" s="299"/>
      <c r="BR12" s="120"/>
      <c r="BS12" s="300"/>
      <c r="BT12" s="301">
        <f aca="true" t="shared" si="32" ref="BT12:BT31">BS12-BR12</f>
        <v>0</v>
      </c>
      <c r="BU12" s="304" t="e">
        <f>BS12/BR12%</f>
        <v>#DIV/0!</v>
      </c>
      <c r="BV12" s="302" t="e">
        <f aca="true" t="shared" si="33" ref="BV12:BV33">BS12/BQ12%</f>
        <v>#DIV/0!</v>
      </c>
      <c r="BW12" s="305">
        <f t="shared" si="23"/>
        <v>0</v>
      </c>
      <c r="BX12" s="221">
        <f t="shared" si="23"/>
        <v>0</v>
      </c>
      <c r="BY12" s="221">
        <f t="shared" si="23"/>
        <v>0</v>
      </c>
      <c r="BZ12" s="301">
        <f aca="true" t="shared" si="34" ref="BZ12:BZ27">BY12-BX12</f>
        <v>0</v>
      </c>
      <c r="CA12" s="301" t="e">
        <f aca="true" t="shared" si="35" ref="CA12:CA27">BY12/BX12%</f>
        <v>#DIV/0!</v>
      </c>
      <c r="CB12" s="306" t="e">
        <f aca="true" t="shared" si="36" ref="CB12:CB33">BY12/BW12%</f>
        <v>#DIV/0!</v>
      </c>
      <c r="CC12" s="307"/>
    </row>
    <row r="13" spans="1:81" ht="12.75">
      <c r="A13" s="118" t="s">
        <v>26</v>
      </c>
      <c r="B13" s="122"/>
      <c r="C13" s="308">
        <v>800</v>
      </c>
      <c r="D13" s="309">
        <v>754.7</v>
      </c>
      <c r="E13" s="310">
        <v>769.5</v>
      </c>
      <c r="F13" s="301">
        <f t="shared" si="22"/>
        <v>14.799999999999955</v>
      </c>
      <c r="G13" s="371">
        <f t="shared" si="0"/>
        <v>101.96104412349277</v>
      </c>
      <c r="H13" s="302">
        <f>E13/C13%</f>
        <v>96.1875</v>
      </c>
      <c r="I13" s="311">
        <v>60</v>
      </c>
      <c r="J13" s="309">
        <v>60</v>
      </c>
      <c r="K13" s="310">
        <v>54.9</v>
      </c>
      <c r="L13" s="301">
        <f t="shared" si="2"/>
        <v>-5.100000000000001</v>
      </c>
      <c r="M13" s="304">
        <f t="shared" si="3"/>
        <v>91.5</v>
      </c>
      <c r="N13" s="302">
        <f t="shared" si="24"/>
        <v>91.5</v>
      </c>
      <c r="O13" s="308">
        <v>4.5</v>
      </c>
      <c r="P13" s="309">
        <v>3.4</v>
      </c>
      <c r="Q13" s="310">
        <v>3.6</v>
      </c>
      <c r="R13" s="301">
        <f t="shared" si="4"/>
        <v>0.20000000000000018</v>
      </c>
      <c r="S13" s="304">
        <f>Q13/P13%</f>
        <v>105.88235294117646</v>
      </c>
      <c r="T13" s="302">
        <f>Q13/O13%</f>
        <v>80</v>
      </c>
      <c r="U13" s="308">
        <v>60.6</v>
      </c>
      <c r="V13" s="309">
        <v>60.6</v>
      </c>
      <c r="W13" s="310">
        <v>38.7</v>
      </c>
      <c r="X13" s="301">
        <f t="shared" si="6"/>
        <v>-21.9</v>
      </c>
      <c r="Y13" s="304">
        <f t="shared" si="7"/>
        <v>63.86138613861387</v>
      </c>
      <c r="Z13" s="302">
        <f>W13/U13%</f>
        <v>63.86138613861387</v>
      </c>
      <c r="AA13" s="308">
        <v>84.5</v>
      </c>
      <c r="AB13" s="309">
        <v>76.5</v>
      </c>
      <c r="AC13" s="310">
        <v>204</v>
      </c>
      <c r="AD13" s="301">
        <f t="shared" si="8"/>
        <v>127.5</v>
      </c>
      <c r="AE13" s="373" t="s">
        <v>27</v>
      </c>
      <c r="AF13" s="374" t="s">
        <v>27</v>
      </c>
      <c r="AG13" s="308">
        <v>244</v>
      </c>
      <c r="AH13" s="309">
        <v>144</v>
      </c>
      <c r="AI13" s="310">
        <v>97</v>
      </c>
      <c r="AJ13" s="301">
        <f t="shared" si="10"/>
        <v>-47</v>
      </c>
      <c r="AK13" s="304">
        <f t="shared" si="11"/>
        <v>67.36111111111111</v>
      </c>
      <c r="AL13" s="302">
        <f t="shared" si="26"/>
        <v>39.75409836065574</v>
      </c>
      <c r="AM13" s="308">
        <v>135.1</v>
      </c>
      <c r="AN13" s="309">
        <v>135.1</v>
      </c>
      <c r="AO13" s="310">
        <v>196.7</v>
      </c>
      <c r="AP13" s="301">
        <f t="shared" si="12"/>
        <v>61.599999999999994</v>
      </c>
      <c r="AQ13" s="304">
        <f t="shared" si="13"/>
        <v>145.59585492227978</v>
      </c>
      <c r="AR13" s="302">
        <f t="shared" si="27"/>
        <v>145.59585492227978</v>
      </c>
      <c r="AS13" s="308">
        <v>200</v>
      </c>
      <c r="AT13" s="309">
        <v>200</v>
      </c>
      <c r="AU13" s="310">
        <v>204.8</v>
      </c>
      <c r="AV13" s="301">
        <f t="shared" si="14"/>
        <v>4.800000000000011</v>
      </c>
      <c r="AW13" s="304">
        <f t="shared" si="15"/>
        <v>102.4</v>
      </c>
      <c r="AX13" s="302">
        <f t="shared" si="28"/>
        <v>102.4</v>
      </c>
      <c r="AY13" s="308">
        <v>764.2</v>
      </c>
      <c r="AZ13" s="309">
        <v>764.2</v>
      </c>
      <c r="BA13" s="310">
        <v>1469.4</v>
      </c>
      <c r="BB13" s="301">
        <f t="shared" si="16"/>
        <v>705.2</v>
      </c>
      <c r="BC13" s="373" t="s">
        <v>27</v>
      </c>
      <c r="BD13" s="375" t="s">
        <v>27</v>
      </c>
      <c r="BE13" s="308">
        <v>6.4</v>
      </c>
      <c r="BF13" s="309">
        <v>3.7</v>
      </c>
      <c r="BG13" s="310">
        <v>3.7</v>
      </c>
      <c r="BH13" s="301">
        <f t="shared" si="17"/>
        <v>0</v>
      </c>
      <c r="BI13" s="304">
        <f t="shared" si="18"/>
        <v>99.99999999999999</v>
      </c>
      <c r="BJ13" s="302">
        <f t="shared" si="30"/>
        <v>57.8125</v>
      </c>
      <c r="BK13" s="308">
        <v>216</v>
      </c>
      <c r="BL13" s="309">
        <v>103.7</v>
      </c>
      <c r="BM13" s="310">
        <v>51.4</v>
      </c>
      <c r="BN13" s="301">
        <f t="shared" si="19"/>
        <v>-52.300000000000004</v>
      </c>
      <c r="BO13" s="304">
        <f t="shared" si="20"/>
        <v>49.56605593056895</v>
      </c>
      <c r="BP13" s="302">
        <f t="shared" si="31"/>
        <v>23.796296296296294</v>
      </c>
      <c r="BQ13" s="308"/>
      <c r="BR13" s="309"/>
      <c r="BS13" s="310"/>
      <c r="BT13" s="301">
        <f t="shared" si="32"/>
        <v>0</v>
      </c>
      <c r="BU13" s="304"/>
      <c r="BV13" s="302"/>
      <c r="BW13" s="305">
        <f t="shared" si="23"/>
        <v>2575.2999999999997</v>
      </c>
      <c r="BX13" s="221">
        <f t="shared" si="23"/>
        <v>2305.8999999999996</v>
      </c>
      <c r="BY13" s="221">
        <f t="shared" si="23"/>
        <v>3093.7000000000003</v>
      </c>
      <c r="BZ13" s="301">
        <f t="shared" si="34"/>
        <v>787.8000000000006</v>
      </c>
      <c r="CA13" s="301">
        <f t="shared" si="35"/>
        <v>134.16453445509347</v>
      </c>
      <c r="CB13" s="306">
        <f t="shared" si="36"/>
        <v>120.12969362792687</v>
      </c>
      <c r="CC13" s="307"/>
    </row>
    <row r="14" spans="1:81" ht="12.75">
      <c r="A14" s="123" t="s">
        <v>65</v>
      </c>
      <c r="B14" s="122"/>
      <c r="C14" s="308">
        <v>7228.4</v>
      </c>
      <c r="D14" s="309">
        <v>2411.4</v>
      </c>
      <c r="E14" s="310">
        <v>2504.2</v>
      </c>
      <c r="F14" s="301">
        <f t="shared" si="22"/>
        <v>92.79999999999973</v>
      </c>
      <c r="G14" s="371">
        <f t="shared" si="0"/>
        <v>103.84838682922782</v>
      </c>
      <c r="H14" s="302">
        <f t="shared" si="1"/>
        <v>34.64390459852803</v>
      </c>
      <c r="I14" s="311">
        <v>130</v>
      </c>
      <c r="J14" s="309">
        <v>36.2</v>
      </c>
      <c r="K14" s="310">
        <v>37.2</v>
      </c>
      <c r="L14" s="301">
        <f t="shared" si="2"/>
        <v>1</v>
      </c>
      <c r="M14" s="304">
        <f t="shared" si="3"/>
        <v>102.76243093922652</v>
      </c>
      <c r="N14" s="302">
        <f t="shared" si="24"/>
        <v>28.615384615384617</v>
      </c>
      <c r="O14" s="308">
        <v>321.7</v>
      </c>
      <c r="P14" s="309">
        <v>116</v>
      </c>
      <c r="Q14" s="310">
        <v>117.3</v>
      </c>
      <c r="R14" s="301">
        <f t="shared" si="4"/>
        <v>1.2999999999999972</v>
      </c>
      <c r="S14" s="304">
        <f t="shared" si="5"/>
        <v>101.12068965517241</v>
      </c>
      <c r="T14" s="302">
        <f aca="true" t="shared" si="37" ref="T14:T33">Q14/O14%</f>
        <v>36.4625427416848</v>
      </c>
      <c r="U14" s="308">
        <v>105</v>
      </c>
      <c r="V14" s="309">
        <v>18</v>
      </c>
      <c r="W14" s="310">
        <v>31.4</v>
      </c>
      <c r="X14" s="301">
        <f t="shared" si="6"/>
        <v>13.399999999999999</v>
      </c>
      <c r="Y14" s="386" t="s">
        <v>27</v>
      </c>
      <c r="Z14" s="302">
        <f>W14/U14%</f>
        <v>29.9047619047619</v>
      </c>
      <c r="AA14" s="308">
        <v>32.3</v>
      </c>
      <c r="AB14" s="309">
        <v>11.8</v>
      </c>
      <c r="AC14" s="310">
        <v>12</v>
      </c>
      <c r="AD14" s="301">
        <f t="shared" si="8"/>
        <v>0.1999999999999993</v>
      </c>
      <c r="AE14" s="304">
        <f t="shared" si="9"/>
        <v>101.69491525423729</v>
      </c>
      <c r="AF14" s="302">
        <f t="shared" si="25"/>
        <v>37.15170278637771</v>
      </c>
      <c r="AG14" s="308">
        <v>493.5</v>
      </c>
      <c r="AH14" s="309">
        <v>106</v>
      </c>
      <c r="AI14" s="310">
        <v>9.5</v>
      </c>
      <c r="AJ14" s="301">
        <f t="shared" si="10"/>
        <v>-96.5</v>
      </c>
      <c r="AK14" s="304">
        <f t="shared" si="11"/>
        <v>8.962264150943396</v>
      </c>
      <c r="AL14" s="302">
        <f t="shared" si="26"/>
        <v>1.9250253292806485</v>
      </c>
      <c r="AM14" s="308">
        <v>176.6</v>
      </c>
      <c r="AN14" s="309">
        <v>23</v>
      </c>
      <c r="AO14" s="310">
        <v>23</v>
      </c>
      <c r="AP14" s="301">
        <f t="shared" si="12"/>
        <v>0</v>
      </c>
      <c r="AQ14" s="304">
        <f t="shared" si="13"/>
        <v>100</v>
      </c>
      <c r="AR14" s="302">
        <f t="shared" si="27"/>
        <v>13.023782559456398</v>
      </c>
      <c r="AS14" s="308">
        <v>73.1</v>
      </c>
      <c r="AT14" s="309">
        <v>21.5</v>
      </c>
      <c r="AU14" s="310">
        <v>21.8</v>
      </c>
      <c r="AV14" s="301">
        <f t="shared" si="14"/>
        <v>0.3000000000000007</v>
      </c>
      <c r="AW14" s="304">
        <f t="shared" si="15"/>
        <v>101.39534883720931</v>
      </c>
      <c r="AX14" s="302">
        <f t="shared" si="28"/>
        <v>29.82216142270862</v>
      </c>
      <c r="AY14" s="308">
        <v>700.6</v>
      </c>
      <c r="AZ14" s="309">
        <v>225.7</v>
      </c>
      <c r="BA14" s="310">
        <v>225.8</v>
      </c>
      <c r="BB14" s="301">
        <f t="shared" si="16"/>
        <v>0.10000000000002274</v>
      </c>
      <c r="BC14" s="304">
        <f>BA14/AZ14%</f>
        <v>100.04430660168367</v>
      </c>
      <c r="BD14" s="302">
        <f t="shared" si="29"/>
        <v>32.229517556380245</v>
      </c>
      <c r="BE14" s="308">
        <v>41.7</v>
      </c>
      <c r="BF14" s="309">
        <v>14</v>
      </c>
      <c r="BG14" s="310">
        <v>14.8</v>
      </c>
      <c r="BH14" s="301">
        <f t="shared" si="17"/>
        <v>0.8000000000000007</v>
      </c>
      <c r="BI14" s="373" t="s">
        <v>27</v>
      </c>
      <c r="BJ14" s="302">
        <f t="shared" si="30"/>
        <v>35.4916067146283</v>
      </c>
      <c r="BK14" s="308">
        <v>250</v>
      </c>
      <c r="BL14" s="309">
        <v>80</v>
      </c>
      <c r="BM14" s="310">
        <v>81.8</v>
      </c>
      <c r="BN14" s="301">
        <f t="shared" si="19"/>
        <v>1.7999999999999972</v>
      </c>
      <c r="BO14" s="304">
        <f t="shared" si="20"/>
        <v>102.24999999999999</v>
      </c>
      <c r="BP14" s="302">
        <f t="shared" si="31"/>
        <v>32.72</v>
      </c>
      <c r="BQ14" s="308">
        <v>860</v>
      </c>
      <c r="BR14" s="309">
        <v>33.8</v>
      </c>
      <c r="BS14" s="310">
        <v>161.7</v>
      </c>
      <c r="BT14" s="301">
        <f t="shared" si="32"/>
        <v>127.89999999999999</v>
      </c>
      <c r="BU14" s="304">
        <f t="shared" si="21"/>
        <v>478.40236686390534</v>
      </c>
      <c r="BV14" s="302">
        <f t="shared" si="33"/>
        <v>18.802325581395348</v>
      </c>
      <c r="BW14" s="305">
        <f t="shared" si="23"/>
        <v>10412.900000000001</v>
      </c>
      <c r="BX14" s="221">
        <f t="shared" si="23"/>
        <v>3097.4</v>
      </c>
      <c r="BY14" s="221">
        <f t="shared" si="23"/>
        <v>3240.5000000000005</v>
      </c>
      <c r="BZ14" s="301">
        <f t="shared" si="34"/>
        <v>143.10000000000036</v>
      </c>
      <c r="CA14" s="301">
        <f t="shared" si="35"/>
        <v>104.6200038742171</v>
      </c>
      <c r="CB14" s="306">
        <f t="shared" si="36"/>
        <v>31.12005301116884</v>
      </c>
      <c r="CC14" s="307"/>
    </row>
    <row r="15" spans="1:81" s="126" customFormat="1" ht="12.75">
      <c r="A15" s="124" t="s">
        <v>66</v>
      </c>
      <c r="B15" s="125"/>
      <c r="C15" s="312">
        <v>28655.2</v>
      </c>
      <c r="D15" s="313">
        <v>15247.3</v>
      </c>
      <c r="E15" s="314">
        <v>15555.1</v>
      </c>
      <c r="F15" s="301">
        <f t="shared" si="22"/>
        <v>307.8000000000011</v>
      </c>
      <c r="G15" s="371">
        <f t="shared" si="0"/>
        <v>102.018718068117</v>
      </c>
      <c r="H15" s="302">
        <f t="shared" si="1"/>
        <v>54.28369022027415</v>
      </c>
      <c r="I15" s="315">
        <v>2903.6</v>
      </c>
      <c r="J15" s="313">
        <v>1569</v>
      </c>
      <c r="K15" s="314">
        <v>1589.5</v>
      </c>
      <c r="L15" s="301">
        <f t="shared" si="2"/>
        <v>20.5</v>
      </c>
      <c r="M15" s="304">
        <f t="shared" si="3"/>
        <v>101.30656469088592</v>
      </c>
      <c r="N15" s="302">
        <f t="shared" si="24"/>
        <v>54.742388758782205</v>
      </c>
      <c r="O15" s="312">
        <v>3515.9</v>
      </c>
      <c r="P15" s="313">
        <v>3067</v>
      </c>
      <c r="Q15" s="314">
        <v>3950.7</v>
      </c>
      <c r="R15" s="301">
        <f t="shared" si="4"/>
        <v>883.6999999999998</v>
      </c>
      <c r="S15" s="304">
        <f t="shared" si="5"/>
        <v>128.81317248125202</v>
      </c>
      <c r="T15" s="302">
        <f t="shared" si="37"/>
        <v>112.36667709548053</v>
      </c>
      <c r="U15" s="312">
        <v>3686.8</v>
      </c>
      <c r="V15" s="313">
        <v>1139.5</v>
      </c>
      <c r="W15" s="314">
        <v>1131.9</v>
      </c>
      <c r="X15" s="301">
        <f t="shared" si="6"/>
        <v>-7.599999999999909</v>
      </c>
      <c r="Y15" s="304">
        <f t="shared" si="7"/>
        <v>99.33304080737166</v>
      </c>
      <c r="Z15" s="302">
        <f>W15/U15%</f>
        <v>30.70142128675274</v>
      </c>
      <c r="AA15" s="312">
        <v>4253.3</v>
      </c>
      <c r="AB15" s="313">
        <v>959.3</v>
      </c>
      <c r="AC15" s="314">
        <v>1552.3</v>
      </c>
      <c r="AD15" s="301">
        <f t="shared" si="8"/>
        <v>593</v>
      </c>
      <c r="AE15" s="304">
        <f t="shared" si="9"/>
        <v>161.81590743250285</v>
      </c>
      <c r="AF15" s="302">
        <f t="shared" si="25"/>
        <v>36.49636752639127</v>
      </c>
      <c r="AG15" s="312">
        <v>1954</v>
      </c>
      <c r="AH15" s="313">
        <v>737.2</v>
      </c>
      <c r="AI15" s="314">
        <v>733.1</v>
      </c>
      <c r="AJ15" s="301">
        <f t="shared" si="10"/>
        <v>-4.100000000000023</v>
      </c>
      <c r="AK15" s="304">
        <f t="shared" si="11"/>
        <v>99.44384156266955</v>
      </c>
      <c r="AL15" s="302">
        <f t="shared" si="26"/>
        <v>37.517911975435005</v>
      </c>
      <c r="AM15" s="312">
        <v>3288.2</v>
      </c>
      <c r="AN15" s="313">
        <v>962.3</v>
      </c>
      <c r="AO15" s="314">
        <v>962.5</v>
      </c>
      <c r="AP15" s="301">
        <f t="shared" si="12"/>
        <v>0.20000000000004547</v>
      </c>
      <c r="AQ15" s="304">
        <f t="shared" si="13"/>
        <v>100.02078353943678</v>
      </c>
      <c r="AR15" s="302">
        <f t="shared" si="27"/>
        <v>29.271333860470776</v>
      </c>
      <c r="AS15" s="312">
        <v>2263.8</v>
      </c>
      <c r="AT15" s="313">
        <v>851.4</v>
      </c>
      <c r="AU15" s="314">
        <v>851.1</v>
      </c>
      <c r="AV15" s="301">
        <f t="shared" si="14"/>
        <v>-0.2999999999999545</v>
      </c>
      <c r="AW15" s="304">
        <f t="shared" si="15"/>
        <v>99.9647639182523</v>
      </c>
      <c r="AX15" s="302">
        <f t="shared" si="28"/>
        <v>37.596077391995756</v>
      </c>
      <c r="AY15" s="312">
        <v>4670.9</v>
      </c>
      <c r="AZ15" s="313">
        <v>2734.6</v>
      </c>
      <c r="BA15" s="314">
        <v>2770.5</v>
      </c>
      <c r="BB15" s="301">
        <f t="shared" si="16"/>
        <v>35.90000000000009</v>
      </c>
      <c r="BC15" s="304">
        <f>BA15/AZ15%</f>
        <v>101.31280626051343</v>
      </c>
      <c r="BD15" s="302">
        <f t="shared" si="29"/>
        <v>59.314050825322745</v>
      </c>
      <c r="BE15" s="312">
        <v>1746</v>
      </c>
      <c r="BF15" s="313">
        <v>741</v>
      </c>
      <c r="BG15" s="314">
        <v>341.4</v>
      </c>
      <c r="BH15" s="301">
        <f t="shared" si="17"/>
        <v>-399.6</v>
      </c>
      <c r="BI15" s="304">
        <f t="shared" si="18"/>
        <v>46.072874493927124</v>
      </c>
      <c r="BJ15" s="302">
        <f t="shared" si="30"/>
        <v>19.553264604810995</v>
      </c>
      <c r="BK15" s="312">
        <v>2017.8</v>
      </c>
      <c r="BL15" s="313">
        <v>758.1</v>
      </c>
      <c r="BM15" s="314">
        <v>902.8</v>
      </c>
      <c r="BN15" s="301">
        <f t="shared" si="19"/>
        <v>144.69999999999993</v>
      </c>
      <c r="BO15" s="304">
        <f t="shared" si="20"/>
        <v>119.08719166336894</v>
      </c>
      <c r="BP15" s="302">
        <f t="shared" si="31"/>
        <v>44.741797997819404</v>
      </c>
      <c r="BQ15" s="312">
        <v>4569.9</v>
      </c>
      <c r="BR15" s="313">
        <v>2540.5</v>
      </c>
      <c r="BS15" s="314">
        <v>2746.3</v>
      </c>
      <c r="BT15" s="301">
        <f t="shared" si="32"/>
        <v>205.80000000000018</v>
      </c>
      <c r="BU15" s="304">
        <f t="shared" si="21"/>
        <v>108.10076756543988</v>
      </c>
      <c r="BV15" s="302">
        <f t="shared" si="33"/>
        <v>60.09540690168276</v>
      </c>
      <c r="BW15" s="305">
        <f t="shared" si="23"/>
        <v>63525.40000000001</v>
      </c>
      <c r="BX15" s="221">
        <f t="shared" si="23"/>
        <v>31307.199999999997</v>
      </c>
      <c r="BY15" s="221">
        <f t="shared" si="23"/>
        <v>33087.2</v>
      </c>
      <c r="BZ15" s="301">
        <f t="shared" si="34"/>
        <v>1780</v>
      </c>
      <c r="CA15" s="301">
        <f t="shared" si="35"/>
        <v>105.68559309040732</v>
      </c>
      <c r="CB15" s="306">
        <f t="shared" si="36"/>
        <v>52.08499277454371</v>
      </c>
      <c r="CC15" s="316"/>
    </row>
    <row r="16" spans="1:81" ht="12.75" customHeight="1">
      <c r="A16" s="127" t="s">
        <v>67</v>
      </c>
      <c r="B16" s="128"/>
      <c r="C16" s="312"/>
      <c r="D16" s="317"/>
      <c r="E16" s="318"/>
      <c r="F16" s="301">
        <f t="shared" si="22"/>
        <v>0</v>
      </c>
      <c r="G16" s="371"/>
      <c r="H16" s="302"/>
      <c r="I16" s="315">
        <v>80</v>
      </c>
      <c r="J16" s="317">
        <v>75</v>
      </c>
      <c r="K16" s="318">
        <v>83.6</v>
      </c>
      <c r="L16" s="301">
        <f t="shared" si="2"/>
        <v>8.599999999999994</v>
      </c>
      <c r="M16" s="304">
        <f t="shared" si="3"/>
        <v>111.46666666666665</v>
      </c>
      <c r="N16" s="302">
        <f t="shared" si="24"/>
        <v>104.49999999999999</v>
      </c>
      <c r="O16" s="312">
        <v>70.9</v>
      </c>
      <c r="P16" s="317">
        <v>41.7</v>
      </c>
      <c r="Q16" s="318">
        <v>41.7</v>
      </c>
      <c r="R16" s="301">
        <f t="shared" si="4"/>
        <v>0</v>
      </c>
      <c r="S16" s="304">
        <f t="shared" si="5"/>
        <v>100</v>
      </c>
      <c r="T16" s="302">
        <f t="shared" si="37"/>
        <v>58.81523272214386</v>
      </c>
      <c r="U16" s="312">
        <v>26</v>
      </c>
      <c r="V16" s="317">
        <v>17.4</v>
      </c>
      <c r="W16" s="318">
        <v>14.1</v>
      </c>
      <c r="X16" s="301">
        <f t="shared" si="6"/>
        <v>-3.299999999999999</v>
      </c>
      <c r="Y16" s="304">
        <f t="shared" si="7"/>
        <v>81.0344827586207</v>
      </c>
      <c r="Z16" s="302">
        <f>W16/U16%</f>
        <v>54.230769230769226</v>
      </c>
      <c r="AA16" s="312">
        <v>42.6</v>
      </c>
      <c r="AB16" s="317">
        <v>33.5</v>
      </c>
      <c r="AC16" s="318">
        <v>61.5</v>
      </c>
      <c r="AD16" s="301">
        <f t="shared" si="8"/>
        <v>28</v>
      </c>
      <c r="AE16" s="386" t="s">
        <v>27</v>
      </c>
      <c r="AF16" s="302">
        <f t="shared" si="25"/>
        <v>144.3661971830986</v>
      </c>
      <c r="AG16" s="312">
        <v>91.9</v>
      </c>
      <c r="AH16" s="317">
        <v>45.7</v>
      </c>
      <c r="AI16" s="318">
        <v>33.3</v>
      </c>
      <c r="AJ16" s="301">
        <f t="shared" si="10"/>
        <v>-12.400000000000006</v>
      </c>
      <c r="AK16" s="304">
        <f t="shared" si="11"/>
        <v>72.86652078774617</v>
      </c>
      <c r="AL16" s="302">
        <f t="shared" si="26"/>
        <v>36.23503808487486</v>
      </c>
      <c r="AM16" s="312">
        <v>65.4</v>
      </c>
      <c r="AN16" s="317">
        <v>12.4</v>
      </c>
      <c r="AO16" s="318">
        <v>12.4</v>
      </c>
      <c r="AP16" s="301">
        <f t="shared" si="12"/>
        <v>0</v>
      </c>
      <c r="AQ16" s="304">
        <f t="shared" si="13"/>
        <v>100</v>
      </c>
      <c r="AR16" s="302">
        <f t="shared" si="27"/>
        <v>18.960244648318042</v>
      </c>
      <c r="AS16" s="312">
        <v>20.8</v>
      </c>
      <c r="AT16" s="317">
        <v>20.8</v>
      </c>
      <c r="AU16" s="318">
        <v>29.4</v>
      </c>
      <c r="AV16" s="301">
        <f t="shared" si="14"/>
        <v>8.599999999999998</v>
      </c>
      <c r="AW16" s="304">
        <f t="shared" si="15"/>
        <v>141.34615384615384</v>
      </c>
      <c r="AX16" s="302">
        <f t="shared" si="28"/>
        <v>141.34615384615384</v>
      </c>
      <c r="AY16" s="312">
        <v>13.9</v>
      </c>
      <c r="AZ16" s="317">
        <v>13.9</v>
      </c>
      <c r="BA16" s="318">
        <v>35</v>
      </c>
      <c r="BB16" s="301">
        <f t="shared" si="16"/>
        <v>21.1</v>
      </c>
      <c r="BC16" s="373" t="s">
        <v>27</v>
      </c>
      <c r="BD16" s="302">
        <f t="shared" si="29"/>
        <v>251.79856115107913</v>
      </c>
      <c r="BE16" s="312">
        <v>22.5</v>
      </c>
      <c r="BF16" s="317">
        <v>14.8</v>
      </c>
      <c r="BG16" s="318">
        <v>14.1</v>
      </c>
      <c r="BH16" s="301">
        <f t="shared" si="17"/>
        <v>-0.7000000000000011</v>
      </c>
      <c r="BI16" s="304">
        <f t="shared" si="18"/>
        <v>95.27027027027026</v>
      </c>
      <c r="BJ16" s="302">
        <f t="shared" si="30"/>
        <v>62.666666666666664</v>
      </c>
      <c r="BK16" s="312">
        <v>70.7</v>
      </c>
      <c r="BL16" s="317">
        <v>50</v>
      </c>
      <c r="BM16" s="318">
        <v>51.7</v>
      </c>
      <c r="BN16" s="301">
        <f t="shared" si="19"/>
        <v>1.7000000000000028</v>
      </c>
      <c r="BO16" s="304">
        <f t="shared" si="20"/>
        <v>103.4</v>
      </c>
      <c r="BP16" s="302">
        <f t="shared" si="31"/>
        <v>73.12588401697312</v>
      </c>
      <c r="BQ16" s="312">
        <v>68.2</v>
      </c>
      <c r="BR16" s="317">
        <v>50</v>
      </c>
      <c r="BS16" s="318">
        <v>59.2</v>
      </c>
      <c r="BT16" s="301">
        <f t="shared" si="32"/>
        <v>9.200000000000003</v>
      </c>
      <c r="BU16" s="304">
        <f t="shared" si="21"/>
        <v>118.4</v>
      </c>
      <c r="BV16" s="302">
        <f t="shared" si="33"/>
        <v>86.80351906158357</v>
      </c>
      <c r="BW16" s="305">
        <f t="shared" si="23"/>
        <v>572.9</v>
      </c>
      <c r="BX16" s="221">
        <f t="shared" si="23"/>
        <v>375.20000000000005</v>
      </c>
      <c r="BY16" s="221">
        <f t="shared" si="23"/>
        <v>436</v>
      </c>
      <c r="BZ16" s="301">
        <f t="shared" si="34"/>
        <v>60.799999999999955</v>
      </c>
      <c r="CA16" s="301">
        <f t="shared" si="35"/>
        <v>116.20469083155648</v>
      </c>
      <c r="CB16" s="306">
        <f t="shared" si="36"/>
        <v>76.10403211729796</v>
      </c>
      <c r="CC16" s="307"/>
    </row>
    <row r="17" spans="1:81" ht="21.75" customHeight="1">
      <c r="A17" s="127" t="s">
        <v>68</v>
      </c>
      <c r="B17" s="128"/>
      <c r="C17" s="312"/>
      <c r="D17" s="317"/>
      <c r="E17" s="319"/>
      <c r="F17" s="301">
        <f t="shared" si="22"/>
        <v>0</v>
      </c>
      <c r="G17" s="371"/>
      <c r="H17" s="302"/>
      <c r="I17" s="315"/>
      <c r="J17" s="317"/>
      <c r="K17" s="319"/>
      <c r="L17" s="301">
        <f t="shared" si="2"/>
        <v>0</v>
      </c>
      <c r="M17" s="304"/>
      <c r="N17" s="302"/>
      <c r="O17" s="312"/>
      <c r="P17" s="317"/>
      <c r="Q17" s="319"/>
      <c r="R17" s="301">
        <f t="shared" si="4"/>
        <v>0</v>
      </c>
      <c r="S17" s="304"/>
      <c r="T17" s="302"/>
      <c r="U17" s="312"/>
      <c r="V17" s="317"/>
      <c r="W17" s="319"/>
      <c r="X17" s="301">
        <f t="shared" si="6"/>
        <v>0</v>
      </c>
      <c r="Y17" s="304"/>
      <c r="Z17" s="302"/>
      <c r="AA17" s="312"/>
      <c r="AB17" s="317"/>
      <c r="AC17" s="319"/>
      <c r="AD17" s="301">
        <f t="shared" si="8"/>
        <v>0</v>
      </c>
      <c r="AE17" s="304"/>
      <c r="AF17" s="302"/>
      <c r="AG17" s="312"/>
      <c r="AH17" s="317"/>
      <c r="AI17" s="319"/>
      <c r="AJ17" s="301">
        <f t="shared" si="10"/>
        <v>0</v>
      </c>
      <c r="AK17" s="304"/>
      <c r="AL17" s="302"/>
      <c r="AM17" s="312"/>
      <c r="AN17" s="317"/>
      <c r="AO17" s="319"/>
      <c r="AP17" s="301">
        <f t="shared" si="12"/>
        <v>0</v>
      </c>
      <c r="AQ17" s="304"/>
      <c r="AR17" s="302"/>
      <c r="AS17" s="312"/>
      <c r="AT17" s="317"/>
      <c r="AU17" s="319"/>
      <c r="AV17" s="301">
        <f t="shared" si="14"/>
        <v>0</v>
      </c>
      <c r="AW17" s="304"/>
      <c r="AX17" s="302"/>
      <c r="AY17" s="312"/>
      <c r="AZ17" s="317"/>
      <c r="BA17" s="319"/>
      <c r="BB17" s="301">
        <f t="shared" si="16"/>
        <v>0</v>
      </c>
      <c r="BC17" s="304"/>
      <c r="BD17" s="302"/>
      <c r="BE17" s="312"/>
      <c r="BF17" s="317"/>
      <c r="BG17" s="319"/>
      <c r="BH17" s="301">
        <f t="shared" si="17"/>
        <v>0</v>
      </c>
      <c r="BI17" s="304"/>
      <c r="BJ17" s="302"/>
      <c r="BK17" s="312"/>
      <c r="BL17" s="317"/>
      <c r="BM17" s="319"/>
      <c r="BN17" s="301">
        <f t="shared" si="19"/>
        <v>0</v>
      </c>
      <c r="BO17" s="304"/>
      <c r="BP17" s="302"/>
      <c r="BQ17" s="312"/>
      <c r="BR17" s="317"/>
      <c r="BS17" s="319"/>
      <c r="BT17" s="301">
        <f t="shared" si="32"/>
        <v>0</v>
      </c>
      <c r="BU17" s="304"/>
      <c r="BV17" s="302"/>
      <c r="BW17" s="305">
        <f t="shared" si="23"/>
        <v>0</v>
      </c>
      <c r="BX17" s="221">
        <f t="shared" si="23"/>
        <v>0</v>
      </c>
      <c r="BY17" s="221">
        <f t="shared" si="23"/>
        <v>0</v>
      </c>
      <c r="BZ17" s="301">
        <f t="shared" si="34"/>
        <v>0</v>
      </c>
      <c r="CA17" s="301"/>
      <c r="CB17" s="306"/>
      <c r="CC17" s="307"/>
    </row>
    <row r="18" spans="1:81" s="131" customFormat="1" ht="21.75" customHeight="1">
      <c r="A18" s="129" t="s">
        <v>69</v>
      </c>
      <c r="B18" s="130"/>
      <c r="C18" s="320">
        <f>SUM(C19:C27)</f>
        <v>7215.6</v>
      </c>
      <c r="D18" s="321">
        <f>SUM(D19:D27)</f>
        <v>4780.900000000001</v>
      </c>
      <c r="E18" s="321">
        <f>SUM(E19:E27)</f>
        <v>8333.5</v>
      </c>
      <c r="F18" s="322">
        <f t="shared" si="22"/>
        <v>3552.5999999999995</v>
      </c>
      <c r="G18" s="372">
        <f t="shared" si="0"/>
        <v>174.30818465142545</v>
      </c>
      <c r="H18" s="296">
        <f>E18/C18%</f>
        <v>115.49282110981761</v>
      </c>
      <c r="I18" s="320">
        <f>SUM(I19:I27)</f>
        <v>268.6</v>
      </c>
      <c r="J18" s="321">
        <f>SUM(J19:J27)</f>
        <v>207.4</v>
      </c>
      <c r="K18" s="321">
        <f>SUM(K19:K27)</f>
        <v>206.7</v>
      </c>
      <c r="L18" s="322">
        <f t="shared" si="2"/>
        <v>-0.700000000000017</v>
      </c>
      <c r="M18" s="323">
        <f>K18/J18%</f>
        <v>99.66248794599808</v>
      </c>
      <c r="N18" s="296">
        <f t="shared" si="24"/>
        <v>76.95457930007444</v>
      </c>
      <c r="O18" s="320">
        <f>SUM(O19:O27)</f>
        <v>319.5</v>
      </c>
      <c r="P18" s="321">
        <f>SUM(P19:P27)</f>
        <v>254.40000000000003</v>
      </c>
      <c r="Q18" s="321">
        <f>SUM(Q19:Q27)</f>
        <v>295.1</v>
      </c>
      <c r="R18" s="322">
        <f t="shared" si="4"/>
        <v>40.69999999999999</v>
      </c>
      <c r="S18" s="323">
        <f>Q18/P18%</f>
        <v>115.99842767295596</v>
      </c>
      <c r="T18" s="296">
        <f t="shared" si="37"/>
        <v>92.36306729264477</v>
      </c>
      <c r="U18" s="320">
        <f>SUM(U19:U27)</f>
        <v>89.89999999999999</v>
      </c>
      <c r="V18" s="321">
        <f>SUM(V19:V27)</f>
        <v>43.4</v>
      </c>
      <c r="W18" s="321">
        <f>SUM(W19:W27)</f>
        <v>35.3</v>
      </c>
      <c r="X18" s="322">
        <f t="shared" si="6"/>
        <v>-8.100000000000001</v>
      </c>
      <c r="Y18" s="323">
        <f>W18/V18%</f>
        <v>81.33640552995391</v>
      </c>
      <c r="Z18" s="296">
        <f>W18/U18%</f>
        <v>39.265850945494996</v>
      </c>
      <c r="AA18" s="320">
        <f>SUM(AA19:AA27)</f>
        <v>361.3</v>
      </c>
      <c r="AB18" s="321">
        <f>SUM(AB19:AB27)</f>
        <v>277.4</v>
      </c>
      <c r="AC18" s="321">
        <f>SUM(AC19:AC27)</f>
        <v>892.8</v>
      </c>
      <c r="AD18" s="322">
        <f t="shared" si="8"/>
        <v>615.4</v>
      </c>
      <c r="AE18" s="323">
        <f>AC18/AB18%</f>
        <v>321.84571016582555</v>
      </c>
      <c r="AF18" s="296">
        <f t="shared" si="25"/>
        <v>247.1076667589261</v>
      </c>
      <c r="AG18" s="320">
        <f>SUM(AG19:AG27)</f>
        <v>279.3</v>
      </c>
      <c r="AH18" s="321">
        <f>SUM(AH19:AH27)</f>
        <v>217.90000000000003</v>
      </c>
      <c r="AI18" s="321">
        <f>SUM(AI19:AI27)</f>
        <v>271.1</v>
      </c>
      <c r="AJ18" s="322">
        <f t="shared" si="10"/>
        <v>53.19999999999999</v>
      </c>
      <c r="AK18" s="323">
        <f>AI18/AH18%</f>
        <v>124.41486920605782</v>
      </c>
      <c r="AL18" s="296">
        <f t="shared" si="26"/>
        <v>97.06408879341211</v>
      </c>
      <c r="AM18" s="320">
        <f>SUM(AM19:AM27)</f>
        <v>393.8</v>
      </c>
      <c r="AN18" s="321">
        <f>SUM(AN19:AN27)</f>
        <v>296.40000000000003</v>
      </c>
      <c r="AO18" s="321">
        <f>SUM(AO19:AO27)</f>
        <v>301.7</v>
      </c>
      <c r="AP18" s="322">
        <f t="shared" si="12"/>
        <v>5.2999999999999545</v>
      </c>
      <c r="AQ18" s="323">
        <f>AO18/AN18%</f>
        <v>101.7881241565452</v>
      </c>
      <c r="AR18" s="296">
        <f t="shared" si="27"/>
        <v>76.61249365159979</v>
      </c>
      <c r="AS18" s="320">
        <f>SUM(AS19:AS27)</f>
        <v>104.9</v>
      </c>
      <c r="AT18" s="321">
        <f>SUM(AT19:AT27)</f>
        <v>64.2</v>
      </c>
      <c r="AU18" s="321">
        <f>SUM(AU19:AU27)</f>
        <v>50.800000000000004</v>
      </c>
      <c r="AV18" s="322">
        <f t="shared" si="14"/>
        <v>-13.399999999999999</v>
      </c>
      <c r="AW18" s="323">
        <f>AU18/AT18%</f>
        <v>79.12772585669782</v>
      </c>
      <c r="AX18" s="296">
        <f t="shared" si="28"/>
        <v>48.42707340324118</v>
      </c>
      <c r="AY18" s="320">
        <f>SUM(AY19:AY27)</f>
        <v>161.4</v>
      </c>
      <c r="AZ18" s="321">
        <f>SUM(AZ19:AZ27)</f>
        <v>147.6</v>
      </c>
      <c r="BA18" s="321">
        <f>SUM(BA19:BA27)</f>
        <v>423.4</v>
      </c>
      <c r="BB18" s="322">
        <f t="shared" si="16"/>
        <v>275.79999999999995</v>
      </c>
      <c r="BC18" s="323">
        <f>BA18/AZ18%</f>
        <v>286.85636856368563</v>
      </c>
      <c r="BD18" s="296">
        <f t="shared" si="29"/>
        <v>262.32961586121434</v>
      </c>
      <c r="BE18" s="320">
        <f>SUM(BE19:BE27)</f>
        <v>58.7</v>
      </c>
      <c r="BF18" s="321">
        <f>SUM(BF19:BF27)</f>
        <v>48.300000000000004</v>
      </c>
      <c r="BG18" s="321">
        <f>SUM(BG19:BG27)</f>
        <v>61.599999999999994</v>
      </c>
      <c r="BH18" s="322">
        <f t="shared" si="17"/>
        <v>13.29999999999999</v>
      </c>
      <c r="BI18" s="323">
        <f>BG18/BF18%</f>
        <v>127.53623188405795</v>
      </c>
      <c r="BJ18" s="296">
        <f t="shared" si="30"/>
        <v>104.94037478705279</v>
      </c>
      <c r="BK18" s="320">
        <f>SUM(BK19:BK27)</f>
        <v>503.4</v>
      </c>
      <c r="BL18" s="321">
        <f>SUM(BL19:BL27)</f>
        <v>312.20000000000005</v>
      </c>
      <c r="BM18" s="321">
        <f>SUM(BM19:BM27)</f>
        <v>290.90000000000003</v>
      </c>
      <c r="BN18" s="322">
        <f t="shared" si="19"/>
        <v>-21.30000000000001</v>
      </c>
      <c r="BO18" s="323">
        <f>BM18/BL18%</f>
        <v>93.17745035233824</v>
      </c>
      <c r="BP18" s="296">
        <f t="shared" si="31"/>
        <v>57.78704807310291</v>
      </c>
      <c r="BQ18" s="320">
        <f>SUM(BQ19:BQ27)</f>
        <v>1820.7</v>
      </c>
      <c r="BR18" s="321">
        <f>SUM(BR19:BR27)</f>
        <v>707.8000000000001</v>
      </c>
      <c r="BS18" s="321">
        <f>SUM(BS19:BS27)</f>
        <v>1576</v>
      </c>
      <c r="BT18" s="322">
        <f t="shared" si="32"/>
        <v>868.1999999999999</v>
      </c>
      <c r="BU18" s="323">
        <f>BS18/BR18%</f>
        <v>222.66176886126024</v>
      </c>
      <c r="BV18" s="296">
        <f t="shared" si="33"/>
        <v>86.56011424177514</v>
      </c>
      <c r="BW18" s="292">
        <f>C18+I18+O18+U18+AA18+AG18+AM18+AS18+AY18+BE18+BK18+BQ18</f>
        <v>11577.099999999999</v>
      </c>
      <c r="BX18" s="324">
        <f>D18+J18+P18+V18+AB18+AH18+AN18+AT18+AZ18+BF18+BL18+BR18</f>
        <v>7357.899999999999</v>
      </c>
      <c r="BY18" s="324">
        <f>E18+K18+Q18+W18+AC18+AI18+AO18+AU18+BA18+BG18+BM18+BS18</f>
        <v>12738.9</v>
      </c>
      <c r="BZ18" s="322">
        <f t="shared" si="34"/>
        <v>5381.000000000001</v>
      </c>
      <c r="CA18" s="322">
        <f t="shared" si="35"/>
        <v>173.1322795906441</v>
      </c>
      <c r="CB18" s="297">
        <f t="shared" si="36"/>
        <v>110.03532836375258</v>
      </c>
      <c r="CC18" s="325"/>
    </row>
    <row r="19" spans="1:81" s="134" customFormat="1" ht="12.75">
      <c r="A19" s="132" t="s">
        <v>70</v>
      </c>
      <c r="B19" s="133"/>
      <c r="C19" s="326">
        <v>4566.7</v>
      </c>
      <c r="D19" s="327">
        <v>2878.5</v>
      </c>
      <c r="E19" s="328">
        <v>2685.6</v>
      </c>
      <c r="F19" s="301">
        <f t="shared" si="22"/>
        <v>-192.9000000000001</v>
      </c>
      <c r="G19" s="371">
        <f t="shared" si="0"/>
        <v>93.29859301719645</v>
      </c>
      <c r="H19" s="302">
        <f>E19/C19%</f>
        <v>58.808329866205355</v>
      </c>
      <c r="I19" s="329">
        <v>239.3</v>
      </c>
      <c r="J19" s="327">
        <v>190.3</v>
      </c>
      <c r="K19" s="328">
        <v>190.6</v>
      </c>
      <c r="L19" s="301">
        <f t="shared" si="2"/>
        <v>0.29999999999998295</v>
      </c>
      <c r="M19" s="304">
        <f aca="true" t="shared" si="38" ref="M19:M33">K19/J19%</f>
        <v>100.1576458223857</v>
      </c>
      <c r="N19" s="302">
        <f t="shared" si="24"/>
        <v>79.64897618052653</v>
      </c>
      <c r="O19" s="326">
        <v>112.2</v>
      </c>
      <c r="P19" s="327">
        <v>101.8</v>
      </c>
      <c r="Q19" s="328">
        <v>101.9</v>
      </c>
      <c r="R19" s="301">
        <f t="shared" si="4"/>
        <v>0.10000000000000853</v>
      </c>
      <c r="S19" s="304">
        <f>Q19/P19%</f>
        <v>100.09823182711199</v>
      </c>
      <c r="T19" s="302">
        <f t="shared" si="37"/>
        <v>90.81996434937611</v>
      </c>
      <c r="U19" s="326">
        <v>32.9</v>
      </c>
      <c r="V19" s="327">
        <v>12</v>
      </c>
      <c r="W19" s="328">
        <v>9.9</v>
      </c>
      <c r="X19" s="301">
        <f t="shared" si="6"/>
        <v>-2.0999999999999996</v>
      </c>
      <c r="Y19" s="304">
        <f>W19/V19%</f>
        <v>82.5</v>
      </c>
      <c r="Z19" s="302">
        <f>W19/U19%</f>
        <v>30.09118541033435</v>
      </c>
      <c r="AA19" s="326">
        <v>356.1</v>
      </c>
      <c r="AB19" s="327">
        <v>272.2</v>
      </c>
      <c r="AC19" s="328">
        <v>939.3</v>
      </c>
      <c r="AD19" s="301">
        <f t="shared" si="8"/>
        <v>667.0999999999999</v>
      </c>
      <c r="AE19" s="386" t="s">
        <v>27</v>
      </c>
      <c r="AF19" s="374" t="s">
        <v>27</v>
      </c>
      <c r="AG19" s="326"/>
      <c r="AH19" s="327"/>
      <c r="AI19" s="328"/>
      <c r="AJ19" s="301">
        <f t="shared" si="10"/>
        <v>0</v>
      </c>
      <c r="AK19" s="304"/>
      <c r="AL19" s="302"/>
      <c r="AM19" s="326">
        <v>339.2</v>
      </c>
      <c r="AN19" s="327">
        <v>296.1</v>
      </c>
      <c r="AO19" s="328">
        <v>296.2</v>
      </c>
      <c r="AP19" s="301">
        <f t="shared" si="12"/>
        <v>0.0999999999999659</v>
      </c>
      <c r="AQ19" s="304">
        <f>AO19/AN19%</f>
        <v>100.0337723741979</v>
      </c>
      <c r="AR19" s="302">
        <f t="shared" si="27"/>
        <v>87.32311320754717</v>
      </c>
      <c r="AS19" s="326">
        <v>74.4</v>
      </c>
      <c r="AT19" s="327">
        <v>50.1</v>
      </c>
      <c r="AU19" s="328">
        <v>30.5</v>
      </c>
      <c r="AV19" s="301">
        <f t="shared" si="14"/>
        <v>-19.6</v>
      </c>
      <c r="AW19" s="304">
        <f>AU19/AT19%</f>
        <v>60.87824351297405</v>
      </c>
      <c r="AX19" s="296">
        <f t="shared" si="28"/>
        <v>40.99462365591397</v>
      </c>
      <c r="AY19" s="326">
        <v>5.3</v>
      </c>
      <c r="AZ19" s="327"/>
      <c r="BA19" s="328"/>
      <c r="BB19" s="301">
        <f t="shared" si="16"/>
        <v>0</v>
      </c>
      <c r="BC19" s="304"/>
      <c r="BD19" s="296">
        <f t="shared" si="29"/>
        <v>0</v>
      </c>
      <c r="BE19" s="326"/>
      <c r="BF19" s="327"/>
      <c r="BG19" s="328"/>
      <c r="BH19" s="301">
        <f t="shared" si="17"/>
        <v>0</v>
      </c>
      <c r="BI19" s="304"/>
      <c r="BJ19" s="302"/>
      <c r="BK19" s="326">
        <v>172.4</v>
      </c>
      <c r="BL19" s="327">
        <v>129.3</v>
      </c>
      <c r="BM19" s="328">
        <v>132.8</v>
      </c>
      <c r="BN19" s="301">
        <f t="shared" si="19"/>
        <v>3.5</v>
      </c>
      <c r="BO19" s="304">
        <f>BM19/BL19%</f>
        <v>102.70688321732405</v>
      </c>
      <c r="BP19" s="302">
        <f t="shared" si="31"/>
        <v>77.03016241299305</v>
      </c>
      <c r="BQ19" s="326">
        <v>244.2</v>
      </c>
      <c r="BR19" s="327">
        <v>123.7</v>
      </c>
      <c r="BS19" s="328">
        <v>172.6</v>
      </c>
      <c r="BT19" s="301">
        <f t="shared" si="32"/>
        <v>48.89999999999999</v>
      </c>
      <c r="BU19" s="304">
        <f>BS19/BR19%</f>
        <v>139.5311236863379</v>
      </c>
      <c r="BV19" s="302">
        <f t="shared" si="33"/>
        <v>70.67977067977068</v>
      </c>
      <c r="BW19" s="305">
        <f>C19+I19+O19+U19+AA19+AG19+AM19+AS19+AY19+BE19+BK19+BQ19</f>
        <v>6142.699999999999</v>
      </c>
      <c r="BX19" s="330">
        <f aca="true" t="shared" si="39" ref="BX19:BY33">D19+J19+P19+V19+AB19+AH19+AN19+AT19+AZ19+BF19+BL19+BR19</f>
        <v>4054</v>
      </c>
      <c r="BY19" s="330">
        <f t="shared" si="39"/>
        <v>4559.400000000001</v>
      </c>
      <c r="BZ19" s="301">
        <f t="shared" si="34"/>
        <v>505.40000000000055</v>
      </c>
      <c r="CA19" s="301">
        <f t="shared" si="35"/>
        <v>112.4666995559941</v>
      </c>
      <c r="CB19" s="306">
        <f t="shared" si="36"/>
        <v>74.22468946880038</v>
      </c>
      <c r="CC19" s="307"/>
    </row>
    <row r="20" spans="1:81" ht="12.75">
      <c r="A20" s="135" t="s">
        <v>36</v>
      </c>
      <c r="B20" s="136"/>
      <c r="C20" s="326">
        <v>1540.3</v>
      </c>
      <c r="D20" s="331">
        <v>1059.3</v>
      </c>
      <c r="E20" s="332">
        <v>1399.7</v>
      </c>
      <c r="F20" s="301">
        <f t="shared" si="22"/>
        <v>340.4000000000001</v>
      </c>
      <c r="G20" s="371">
        <f t="shared" si="0"/>
        <v>132.13442839611065</v>
      </c>
      <c r="H20" s="302">
        <f>E20/C20%</f>
        <v>90.87190806985653</v>
      </c>
      <c r="I20" s="329"/>
      <c r="J20" s="331"/>
      <c r="K20" s="332"/>
      <c r="L20" s="301">
        <f t="shared" si="2"/>
        <v>0</v>
      </c>
      <c r="M20" s="304"/>
      <c r="N20" s="302"/>
      <c r="O20" s="326">
        <v>19.9</v>
      </c>
      <c r="P20" s="331">
        <v>14.9</v>
      </c>
      <c r="Q20" s="332">
        <v>14.9</v>
      </c>
      <c r="R20" s="301">
        <f t="shared" si="4"/>
        <v>0</v>
      </c>
      <c r="S20" s="304">
        <f>Q20/P20%</f>
        <v>100</v>
      </c>
      <c r="T20" s="302">
        <f>Q20/O20%</f>
        <v>74.87437185929649</v>
      </c>
      <c r="U20" s="326"/>
      <c r="V20" s="331"/>
      <c r="W20" s="332"/>
      <c r="X20" s="301">
        <f t="shared" si="6"/>
        <v>0</v>
      </c>
      <c r="Y20" s="304"/>
      <c r="Z20" s="302"/>
      <c r="AA20" s="326"/>
      <c r="AB20" s="331"/>
      <c r="AC20" s="332"/>
      <c r="AD20" s="301">
        <f t="shared" si="8"/>
        <v>0</v>
      </c>
      <c r="AE20" s="304"/>
      <c r="AF20" s="302"/>
      <c r="AG20" s="326">
        <v>26.9</v>
      </c>
      <c r="AH20" s="331">
        <v>20.3</v>
      </c>
      <c r="AI20" s="332">
        <v>19.4</v>
      </c>
      <c r="AJ20" s="301">
        <f t="shared" si="10"/>
        <v>-0.9000000000000021</v>
      </c>
      <c r="AK20" s="304">
        <f>AI20/AH20%</f>
        <v>95.56650246305418</v>
      </c>
      <c r="AL20" s="302">
        <f t="shared" si="26"/>
        <v>72.1189591078067</v>
      </c>
      <c r="AM20" s="326"/>
      <c r="AN20" s="331"/>
      <c r="AO20" s="332"/>
      <c r="AP20" s="301">
        <f t="shared" si="12"/>
        <v>0</v>
      </c>
      <c r="AQ20" s="304"/>
      <c r="AR20" s="302"/>
      <c r="AS20" s="326"/>
      <c r="AT20" s="331"/>
      <c r="AU20" s="332"/>
      <c r="AV20" s="301">
        <f t="shared" si="14"/>
        <v>0</v>
      </c>
      <c r="AW20" s="304"/>
      <c r="AX20" s="296"/>
      <c r="AY20" s="326"/>
      <c r="AZ20" s="331"/>
      <c r="BA20" s="332"/>
      <c r="BB20" s="301">
        <f t="shared" si="16"/>
        <v>0</v>
      </c>
      <c r="BC20" s="304"/>
      <c r="BD20" s="296"/>
      <c r="BE20" s="326">
        <v>53</v>
      </c>
      <c r="BF20" s="331">
        <v>42.6</v>
      </c>
      <c r="BG20" s="332">
        <v>42.3</v>
      </c>
      <c r="BH20" s="301">
        <f t="shared" si="17"/>
        <v>-0.30000000000000426</v>
      </c>
      <c r="BI20" s="304">
        <f>BG20/BF20%</f>
        <v>99.29577464788731</v>
      </c>
      <c r="BJ20" s="302">
        <f t="shared" si="30"/>
        <v>79.81132075471697</v>
      </c>
      <c r="BK20" s="326">
        <v>81</v>
      </c>
      <c r="BL20" s="331">
        <v>20.4</v>
      </c>
      <c r="BM20" s="332"/>
      <c r="BN20" s="301">
        <f t="shared" si="19"/>
        <v>-20.4</v>
      </c>
      <c r="BO20" s="304">
        <f>BM20/BL20%</f>
        <v>0</v>
      </c>
      <c r="BP20" s="302">
        <f t="shared" si="31"/>
        <v>0</v>
      </c>
      <c r="BQ20" s="326">
        <v>271.7</v>
      </c>
      <c r="BR20" s="331">
        <v>130</v>
      </c>
      <c r="BS20" s="332">
        <v>236.2</v>
      </c>
      <c r="BT20" s="301">
        <f t="shared" si="32"/>
        <v>106.19999999999999</v>
      </c>
      <c r="BU20" s="304">
        <f>BS20/BR20%</f>
        <v>181.69230769230768</v>
      </c>
      <c r="BV20" s="302">
        <f t="shared" si="33"/>
        <v>86.93411851306587</v>
      </c>
      <c r="BW20" s="305">
        <f aca="true" t="shared" si="40" ref="BW20:BW33">C20+I20+O20+U20+AA20+AG20+AM20+AS20+AY20+BE20+BK20+BQ20</f>
        <v>1992.8000000000002</v>
      </c>
      <c r="BX20" s="330">
        <f t="shared" si="39"/>
        <v>1287.5</v>
      </c>
      <c r="BY20" s="330">
        <f t="shared" si="39"/>
        <v>1712.5000000000002</v>
      </c>
      <c r="BZ20" s="301">
        <f t="shared" si="34"/>
        <v>425.0000000000002</v>
      </c>
      <c r="CA20" s="301">
        <f t="shared" si="35"/>
        <v>133.0097087378641</v>
      </c>
      <c r="CB20" s="306">
        <f t="shared" si="36"/>
        <v>85.93436370935368</v>
      </c>
      <c r="CC20" s="307"/>
    </row>
    <row r="21" spans="1:81" ht="12.75">
      <c r="A21" s="135" t="s">
        <v>71</v>
      </c>
      <c r="B21" s="136"/>
      <c r="C21" s="326">
        <v>33.5</v>
      </c>
      <c r="D21" s="331">
        <v>33.5</v>
      </c>
      <c r="E21" s="332">
        <v>81.1</v>
      </c>
      <c r="F21" s="301">
        <f t="shared" si="22"/>
        <v>47.599999999999994</v>
      </c>
      <c r="G21" s="386" t="s">
        <v>27</v>
      </c>
      <c r="H21" s="374" t="s">
        <v>27</v>
      </c>
      <c r="I21" s="329"/>
      <c r="J21" s="331"/>
      <c r="K21" s="332"/>
      <c r="L21" s="301">
        <f t="shared" si="2"/>
        <v>0</v>
      </c>
      <c r="M21" s="304"/>
      <c r="N21" s="302"/>
      <c r="O21" s="326"/>
      <c r="P21" s="331"/>
      <c r="Q21" s="332"/>
      <c r="R21" s="301">
        <f t="shared" si="4"/>
        <v>0</v>
      </c>
      <c r="S21" s="304"/>
      <c r="T21" s="302"/>
      <c r="U21" s="326"/>
      <c r="V21" s="331"/>
      <c r="W21" s="332"/>
      <c r="X21" s="301">
        <f t="shared" si="6"/>
        <v>0</v>
      </c>
      <c r="Y21" s="304"/>
      <c r="Z21" s="302"/>
      <c r="AA21" s="326"/>
      <c r="AB21" s="331"/>
      <c r="AC21" s="332"/>
      <c r="AD21" s="301">
        <f t="shared" si="8"/>
        <v>0</v>
      </c>
      <c r="AE21" s="304"/>
      <c r="AF21" s="302"/>
      <c r="AG21" s="326"/>
      <c r="AH21" s="331"/>
      <c r="AI21" s="332"/>
      <c r="AJ21" s="301">
        <f t="shared" si="10"/>
        <v>0</v>
      </c>
      <c r="AK21" s="304"/>
      <c r="AL21" s="302"/>
      <c r="AM21" s="326"/>
      <c r="AN21" s="331"/>
      <c r="AO21" s="332"/>
      <c r="AP21" s="301">
        <f t="shared" si="12"/>
        <v>0</v>
      </c>
      <c r="AQ21" s="304"/>
      <c r="AR21" s="302"/>
      <c r="AS21" s="326"/>
      <c r="AT21" s="331"/>
      <c r="AU21" s="332"/>
      <c r="AV21" s="301">
        <f t="shared" si="14"/>
        <v>0</v>
      </c>
      <c r="AW21" s="304"/>
      <c r="AX21" s="296"/>
      <c r="AY21" s="326"/>
      <c r="AZ21" s="331"/>
      <c r="BA21" s="332"/>
      <c r="BB21" s="301">
        <f t="shared" si="16"/>
        <v>0</v>
      </c>
      <c r="BC21" s="304"/>
      <c r="BD21" s="296"/>
      <c r="BE21" s="326"/>
      <c r="BF21" s="331"/>
      <c r="BG21" s="332"/>
      <c r="BH21" s="301">
        <f t="shared" si="17"/>
        <v>0</v>
      </c>
      <c r="BI21" s="304"/>
      <c r="BJ21" s="302"/>
      <c r="BK21" s="326"/>
      <c r="BL21" s="331"/>
      <c r="BM21" s="332"/>
      <c r="BN21" s="301">
        <f t="shared" si="19"/>
        <v>0</v>
      </c>
      <c r="BO21" s="304"/>
      <c r="BP21" s="302"/>
      <c r="BQ21" s="326"/>
      <c r="BR21" s="331"/>
      <c r="BS21" s="332"/>
      <c r="BT21" s="301">
        <f t="shared" si="32"/>
        <v>0</v>
      </c>
      <c r="BU21" s="304"/>
      <c r="BV21" s="302"/>
      <c r="BW21" s="305">
        <f t="shared" si="40"/>
        <v>33.5</v>
      </c>
      <c r="BX21" s="330">
        <f t="shared" si="39"/>
        <v>33.5</v>
      </c>
      <c r="BY21" s="330">
        <f t="shared" si="39"/>
        <v>81.1</v>
      </c>
      <c r="BZ21" s="301">
        <f t="shared" si="34"/>
        <v>47.599999999999994</v>
      </c>
      <c r="CA21" s="301">
        <f t="shared" si="35"/>
        <v>242.08955223880594</v>
      </c>
      <c r="CB21" s="306">
        <f t="shared" si="36"/>
        <v>242.08955223880594</v>
      </c>
      <c r="CC21" s="307"/>
    </row>
    <row r="22" spans="1:81" ht="12.75">
      <c r="A22" s="137" t="s">
        <v>72</v>
      </c>
      <c r="B22" s="136"/>
      <c r="C22" s="326">
        <v>854</v>
      </c>
      <c r="D22" s="331">
        <v>654.6</v>
      </c>
      <c r="E22" s="332">
        <v>711.9</v>
      </c>
      <c r="F22" s="301">
        <f t="shared" si="22"/>
        <v>57.299999999999955</v>
      </c>
      <c r="G22" s="371">
        <f t="shared" si="0"/>
        <v>108.75343721356553</v>
      </c>
      <c r="H22" s="302">
        <f>E22/C22%</f>
        <v>83.36065573770492</v>
      </c>
      <c r="I22" s="329">
        <v>12</v>
      </c>
      <c r="J22" s="331">
        <v>5.1</v>
      </c>
      <c r="K22" s="332">
        <v>3.2</v>
      </c>
      <c r="L22" s="301">
        <f t="shared" si="2"/>
        <v>-1.8999999999999995</v>
      </c>
      <c r="M22" s="304">
        <f t="shared" si="38"/>
        <v>62.74509803921569</v>
      </c>
      <c r="N22" s="302">
        <f t="shared" si="24"/>
        <v>26.666666666666668</v>
      </c>
      <c r="O22" s="326">
        <v>130</v>
      </c>
      <c r="P22" s="331">
        <v>122.4</v>
      </c>
      <c r="Q22" s="332">
        <v>140.8</v>
      </c>
      <c r="R22" s="301">
        <f t="shared" si="4"/>
        <v>18.400000000000006</v>
      </c>
      <c r="S22" s="304">
        <f>Q22/P22%</f>
        <v>115.03267973856211</v>
      </c>
      <c r="T22" s="302">
        <f>Q22/O22%</f>
        <v>108.3076923076923</v>
      </c>
      <c r="U22" s="326">
        <v>16.7</v>
      </c>
      <c r="V22" s="331">
        <v>11.7</v>
      </c>
      <c r="W22" s="332">
        <v>7.7</v>
      </c>
      <c r="X22" s="301">
        <f t="shared" si="6"/>
        <v>-3.999999999999999</v>
      </c>
      <c r="Y22" s="304">
        <f aca="true" t="shared" si="41" ref="Y22:Y31">W22/V22%</f>
        <v>65.81196581196582</v>
      </c>
      <c r="Z22" s="302">
        <f>W22/U22%</f>
        <v>46.10778443113773</v>
      </c>
      <c r="AA22" s="326"/>
      <c r="AB22" s="331"/>
      <c r="AC22" s="332"/>
      <c r="AD22" s="301">
        <f t="shared" si="8"/>
        <v>0</v>
      </c>
      <c r="AE22" s="304"/>
      <c r="AF22" s="302"/>
      <c r="AG22" s="326">
        <v>221.6</v>
      </c>
      <c r="AH22" s="331">
        <v>172.8</v>
      </c>
      <c r="AI22" s="332">
        <v>189.2</v>
      </c>
      <c r="AJ22" s="301">
        <f t="shared" si="10"/>
        <v>16.399999999999977</v>
      </c>
      <c r="AK22" s="304">
        <f>AI22/AH22%</f>
        <v>109.49074074074072</v>
      </c>
      <c r="AL22" s="302">
        <f t="shared" si="26"/>
        <v>85.37906137184116</v>
      </c>
      <c r="AM22" s="326"/>
      <c r="AN22" s="331"/>
      <c r="AO22" s="332"/>
      <c r="AP22" s="301">
        <f t="shared" si="12"/>
        <v>0</v>
      </c>
      <c r="AQ22" s="304"/>
      <c r="AR22" s="302"/>
      <c r="AS22" s="326"/>
      <c r="AT22" s="331"/>
      <c r="AU22" s="332"/>
      <c r="AV22" s="301">
        <f t="shared" si="14"/>
        <v>0</v>
      </c>
      <c r="AW22" s="304"/>
      <c r="AX22" s="296"/>
      <c r="AY22" s="326">
        <v>12.5</v>
      </c>
      <c r="AZ22" s="331">
        <v>4</v>
      </c>
      <c r="BA22" s="332">
        <v>4</v>
      </c>
      <c r="BB22" s="301">
        <f t="shared" si="16"/>
        <v>0</v>
      </c>
      <c r="BC22" s="304">
        <f>BA22/AZ22%</f>
        <v>100</v>
      </c>
      <c r="BD22" s="302">
        <f t="shared" si="29"/>
        <v>32</v>
      </c>
      <c r="BE22" s="326"/>
      <c r="BF22" s="331"/>
      <c r="BG22" s="332"/>
      <c r="BH22" s="301">
        <f t="shared" si="17"/>
        <v>0</v>
      </c>
      <c r="BI22" s="304"/>
      <c r="BJ22" s="302"/>
      <c r="BK22" s="326">
        <v>165.5</v>
      </c>
      <c r="BL22" s="331">
        <v>130</v>
      </c>
      <c r="BM22" s="332">
        <v>130.9</v>
      </c>
      <c r="BN22" s="301">
        <f t="shared" si="19"/>
        <v>0.9000000000000057</v>
      </c>
      <c r="BO22" s="304">
        <f>BM22/BL22%</f>
        <v>100.6923076923077</v>
      </c>
      <c r="BP22" s="302">
        <f>BM22/BK22%</f>
        <v>79.09365558912387</v>
      </c>
      <c r="BQ22" s="326">
        <v>390</v>
      </c>
      <c r="BR22" s="331">
        <v>269</v>
      </c>
      <c r="BS22" s="332">
        <v>259.2</v>
      </c>
      <c r="BT22" s="301">
        <f t="shared" si="32"/>
        <v>-9.800000000000011</v>
      </c>
      <c r="BU22" s="304">
        <f>BS22/BR22%</f>
        <v>96.35687732342008</v>
      </c>
      <c r="BV22" s="302">
        <f>BS22/BQ22%</f>
        <v>66.46153846153847</v>
      </c>
      <c r="BW22" s="305">
        <f t="shared" si="40"/>
        <v>1802.3</v>
      </c>
      <c r="BX22" s="330">
        <f t="shared" si="39"/>
        <v>1369.6000000000001</v>
      </c>
      <c r="BY22" s="330">
        <f t="shared" si="39"/>
        <v>1446.9000000000003</v>
      </c>
      <c r="BZ22" s="301">
        <f t="shared" si="34"/>
        <v>77.30000000000018</v>
      </c>
      <c r="CA22" s="301">
        <f t="shared" si="35"/>
        <v>105.64398364485983</v>
      </c>
      <c r="CB22" s="306">
        <f t="shared" si="36"/>
        <v>80.28075237196917</v>
      </c>
      <c r="CC22" s="307"/>
    </row>
    <row r="23" spans="1:81" ht="12.75">
      <c r="A23" s="137" t="s">
        <v>73</v>
      </c>
      <c r="B23" s="136"/>
      <c r="C23" s="326"/>
      <c r="D23" s="331"/>
      <c r="E23" s="332">
        <v>67.3</v>
      </c>
      <c r="F23" s="301">
        <f t="shared" si="22"/>
        <v>67.3</v>
      </c>
      <c r="G23" s="371"/>
      <c r="H23" s="302"/>
      <c r="I23" s="329">
        <v>10.5</v>
      </c>
      <c r="J23" s="331">
        <v>5.5</v>
      </c>
      <c r="K23" s="332">
        <v>5.5</v>
      </c>
      <c r="L23" s="301"/>
      <c r="M23" s="304"/>
      <c r="N23" s="302"/>
      <c r="O23" s="326"/>
      <c r="P23" s="331"/>
      <c r="Q23" s="332">
        <v>12.2</v>
      </c>
      <c r="R23" s="301">
        <f t="shared" si="4"/>
        <v>12.2</v>
      </c>
      <c r="S23" s="304"/>
      <c r="T23" s="302"/>
      <c r="U23" s="326">
        <v>14.3</v>
      </c>
      <c r="V23" s="331">
        <v>13.2</v>
      </c>
      <c r="W23" s="332">
        <v>13.2</v>
      </c>
      <c r="X23" s="301">
        <f t="shared" si="6"/>
        <v>0</v>
      </c>
      <c r="Y23" s="304">
        <f t="shared" si="41"/>
        <v>99.99999999999999</v>
      </c>
      <c r="Z23" s="302">
        <f>W23/U23%</f>
        <v>92.30769230769229</v>
      </c>
      <c r="AA23" s="326"/>
      <c r="AB23" s="331"/>
      <c r="AC23" s="332">
        <v>10.9</v>
      </c>
      <c r="AD23" s="301"/>
      <c r="AE23" s="304"/>
      <c r="AF23" s="302"/>
      <c r="AG23" s="326"/>
      <c r="AH23" s="331"/>
      <c r="AI23" s="332">
        <v>18.9</v>
      </c>
      <c r="AJ23" s="301"/>
      <c r="AK23" s="304"/>
      <c r="AL23" s="302"/>
      <c r="AM23" s="326"/>
      <c r="AN23" s="331"/>
      <c r="AO23" s="332">
        <v>5.2</v>
      </c>
      <c r="AP23" s="301"/>
      <c r="AQ23" s="304"/>
      <c r="AR23" s="302"/>
      <c r="AS23" s="326"/>
      <c r="AT23" s="331"/>
      <c r="AU23" s="332">
        <v>6.2</v>
      </c>
      <c r="AV23" s="301"/>
      <c r="AW23" s="304"/>
      <c r="AX23" s="296"/>
      <c r="AY23" s="326">
        <v>12.5</v>
      </c>
      <c r="AZ23" s="331">
        <v>12.5</v>
      </c>
      <c r="BA23" s="332">
        <v>12.5</v>
      </c>
      <c r="BB23" s="301"/>
      <c r="BC23" s="304">
        <f>BA23/AZ23%</f>
        <v>100</v>
      </c>
      <c r="BD23" s="302">
        <f t="shared" si="29"/>
        <v>100</v>
      </c>
      <c r="BE23" s="326"/>
      <c r="BF23" s="331"/>
      <c r="BG23" s="332">
        <v>3.3</v>
      </c>
      <c r="BH23" s="301"/>
      <c r="BI23" s="304"/>
      <c r="BJ23" s="302"/>
      <c r="BK23" s="326">
        <v>10.5</v>
      </c>
      <c r="BL23" s="331">
        <v>4.6</v>
      </c>
      <c r="BM23" s="332">
        <v>4.7</v>
      </c>
      <c r="BN23" s="301">
        <f t="shared" si="19"/>
        <v>0.10000000000000053</v>
      </c>
      <c r="BO23" s="304">
        <f>BM23/BL23%</f>
        <v>102.17391304347827</v>
      </c>
      <c r="BP23" s="302">
        <f>BM23/BK23%</f>
        <v>44.761904761904766</v>
      </c>
      <c r="BQ23" s="326">
        <v>21</v>
      </c>
      <c r="BR23" s="331">
        <v>21.2</v>
      </c>
      <c r="BS23" s="332">
        <v>18.2</v>
      </c>
      <c r="BT23" s="301">
        <f t="shared" si="32"/>
        <v>-3</v>
      </c>
      <c r="BU23" s="304">
        <f>BS23/BR23%</f>
        <v>85.84905660377359</v>
      </c>
      <c r="BV23" s="302">
        <f>BS23/BQ23%</f>
        <v>86.66666666666667</v>
      </c>
      <c r="BW23" s="305">
        <f t="shared" si="40"/>
        <v>68.8</v>
      </c>
      <c r="BX23" s="330">
        <f t="shared" si="39"/>
        <v>57</v>
      </c>
      <c r="BY23" s="330">
        <f t="shared" si="39"/>
        <v>178.09999999999997</v>
      </c>
      <c r="BZ23" s="301">
        <f t="shared" si="34"/>
        <v>121.09999999999997</v>
      </c>
      <c r="CA23" s="301">
        <f t="shared" si="35"/>
        <v>312.45614035087715</v>
      </c>
      <c r="CB23" s="306">
        <f t="shared" si="36"/>
        <v>258.8662790697674</v>
      </c>
      <c r="CC23" s="307"/>
    </row>
    <row r="24" spans="1:81" ht="12.75">
      <c r="A24" s="135" t="s">
        <v>74</v>
      </c>
      <c r="B24" s="136"/>
      <c r="C24" s="326"/>
      <c r="D24" s="331"/>
      <c r="E24" s="332">
        <v>910</v>
      </c>
      <c r="F24" s="301">
        <f t="shared" si="22"/>
        <v>910</v>
      </c>
      <c r="G24" s="371"/>
      <c r="H24" s="302"/>
      <c r="I24" s="329"/>
      <c r="J24" s="331"/>
      <c r="K24" s="332"/>
      <c r="L24" s="301">
        <f t="shared" si="2"/>
        <v>0</v>
      </c>
      <c r="M24" s="304"/>
      <c r="N24" s="302"/>
      <c r="O24" s="326"/>
      <c r="P24" s="331"/>
      <c r="Q24" s="332">
        <v>7</v>
      </c>
      <c r="R24" s="301">
        <f t="shared" si="4"/>
        <v>7</v>
      </c>
      <c r="S24" s="304"/>
      <c r="T24" s="302"/>
      <c r="U24" s="326"/>
      <c r="V24" s="331"/>
      <c r="W24" s="332"/>
      <c r="X24" s="301">
        <f t="shared" si="6"/>
        <v>0</v>
      </c>
      <c r="Y24" s="304"/>
      <c r="Z24" s="302"/>
      <c r="AA24" s="326"/>
      <c r="AB24" s="331"/>
      <c r="AC24" s="332"/>
      <c r="AD24" s="301">
        <f t="shared" si="8"/>
        <v>0</v>
      </c>
      <c r="AE24" s="304"/>
      <c r="AF24" s="302"/>
      <c r="AG24" s="326"/>
      <c r="AH24" s="331"/>
      <c r="AI24" s="332"/>
      <c r="AJ24" s="301">
        <f t="shared" si="10"/>
        <v>0</v>
      </c>
      <c r="AK24" s="304"/>
      <c r="AL24" s="302"/>
      <c r="AM24" s="326"/>
      <c r="AN24" s="331"/>
      <c r="AO24" s="332"/>
      <c r="AP24" s="301">
        <f t="shared" si="12"/>
        <v>0</v>
      </c>
      <c r="AQ24" s="304"/>
      <c r="AR24" s="302"/>
      <c r="AS24" s="326"/>
      <c r="AT24" s="331"/>
      <c r="AU24" s="332"/>
      <c r="AV24" s="301">
        <f t="shared" si="14"/>
        <v>0</v>
      </c>
      <c r="AW24" s="304"/>
      <c r="AX24" s="296"/>
      <c r="AY24" s="326"/>
      <c r="AZ24" s="331"/>
      <c r="BA24" s="332"/>
      <c r="BB24" s="301">
        <f t="shared" si="16"/>
        <v>0</v>
      </c>
      <c r="BC24" s="304"/>
      <c r="BD24" s="296"/>
      <c r="BE24" s="326"/>
      <c r="BF24" s="331"/>
      <c r="BG24" s="332">
        <v>11.4</v>
      </c>
      <c r="BH24" s="301">
        <f t="shared" si="17"/>
        <v>11.4</v>
      </c>
      <c r="BI24" s="304"/>
      <c r="BJ24" s="302"/>
      <c r="BK24" s="326"/>
      <c r="BL24" s="331"/>
      <c r="BM24" s="332"/>
      <c r="BN24" s="301">
        <f t="shared" si="19"/>
        <v>0</v>
      </c>
      <c r="BO24" s="304"/>
      <c r="BP24" s="302"/>
      <c r="BQ24" s="326">
        <v>704.5</v>
      </c>
      <c r="BR24" s="331"/>
      <c r="BS24" s="332">
        <v>704.5</v>
      </c>
      <c r="BT24" s="301">
        <f t="shared" si="32"/>
        <v>704.5</v>
      </c>
      <c r="BU24" s="304"/>
      <c r="BV24" s="302">
        <f>BS24/BQ24%</f>
        <v>100</v>
      </c>
      <c r="BW24" s="305">
        <f t="shared" si="40"/>
        <v>704.5</v>
      </c>
      <c r="BX24" s="330">
        <f t="shared" si="39"/>
        <v>0</v>
      </c>
      <c r="BY24" s="330">
        <f t="shared" si="39"/>
        <v>1632.9</v>
      </c>
      <c r="BZ24" s="301">
        <f t="shared" si="34"/>
        <v>1632.9</v>
      </c>
      <c r="CA24" s="301"/>
      <c r="CB24" s="306"/>
      <c r="CC24" s="307"/>
    </row>
    <row r="25" spans="1:81" ht="12.75">
      <c r="A25" s="138" t="s">
        <v>75</v>
      </c>
      <c r="B25" s="139"/>
      <c r="C25" s="333"/>
      <c r="D25" s="334"/>
      <c r="E25" s="335">
        <v>1476</v>
      </c>
      <c r="F25" s="301">
        <f t="shared" si="22"/>
        <v>1476</v>
      </c>
      <c r="G25" s="371"/>
      <c r="H25" s="302"/>
      <c r="I25" s="336"/>
      <c r="J25" s="334"/>
      <c r="K25" s="335"/>
      <c r="L25" s="301">
        <f t="shared" si="2"/>
        <v>0</v>
      </c>
      <c r="M25" s="304"/>
      <c r="N25" s="302"/>
      <c r="O25" s="333"/>
      <c r="P25" s="334"/>
      <c r="Q25" s="335"/>
      <c r="R25" s="301">
        <f t="shared" si="4"/>
        <v>0</v>
      </c>
      <c r="S25" s="304"/>
      <c r="T25" s="302"/>
      <c r="U25" s="333"/>
      <c r="V25" s="334"/>
      <c r="W25" s="335"/>
      <c r="X25" s="301">
        <f t="shared" si="6"/>
        <v>0</v>
      </c>
      <c r="Y25" s="304"/>
      <c r="Z25" s="302"/>
      <c r="AA25" s="333"/>
      <c r="AB25" s="334"/>
      <c r="AC25" s="335"/>
      <c r="AD25" s="301">
        <f t="shared" si="8"/>
        <v>0</v>
      </c>
      <c r="AE25" s="304"/>
      <c r="AF25" s="302"/>
      <c r="AG25" s="333"/>
      <c r="AH25" s="334"/>
      <c r="AI25" s="335"/>
      <c r="AJ25" s="301">
        <f t="shared" si="10"/>
        <v>0</v>
      </c>
      <c r="AK25" s="304"/>
      <c r="AL25" s="302"/>
      <c r="AM25" s="333"/>
      <c r="AN25" s="334"/>
      <c r="AO25" s="335"/>
      <c r="AP25" s="301">
        <f t="shared" si="12"/>
        <v>0</v>
      </c>
      <c r="AQ25" s="304"/>
      <c r="AR25" s="302"/>
      <c r="AS25" s="333"/>
      <c r="AT25" s="334"/>
      <c r="AU25" s="335"/>
      <c r="AV25" s="301">
        <f t="shared" si="14"/>
        <v>0</v>
      </c>
      <c r="AW25" s="304"/>
      <c r="AX25" s="296"/>
      <c r="AY25" s="333"/>
      <c r="AZ25" s="334"/>
      <c r="BA25" s="335"/>
      <c r="BB25" s="301">
        <f t="shared" si="16"/>
        <v>0</v>
      </c>
      <c r="BC25" s="304"/>
      <c r="BD25" s="296"/>
      <c r="BE25" s="333"/>
      <c r="BF25" s="334"/>
      <c r="BG25" s="335"/>
      <c r="BH25" s="301">
        <f t="shared" si="17"/>
        <v>0</v>
      </c>
      <c r="BI25" s="304"/>
      <c r="BJ25" s="302"/>
      <c r="BK25" s="333"/>
      <c r="BL25" s="334"/>
      <c r="BM25" s="335"/>
      <c r="BN25" s="301">
        <f t="shared" si="19"/>
        <v>0</v>
      </c>
      <c r="BO25" s="304"/>
      <c r="BP25" s="302"/>
      <c r="BQ25" s="333"/>
      <c r="BR25" s="334"/>
      <c r="BS25" s="335"/>
      <c r="BT25" s="301">
        <f t="shared" si="32"/>
        <v>0</v>
      </c>
      <c r="BU25" s="304"/>
      <c r="BV25" s="302"/>
      <c r="BW25" s="305">
        <f t="shared" si="40"/>
        <v>0</v>
      </c>
      <c r="BX25" s="330">
        <f t="shared" si="39"/>
        <v>0</v>
      </c>
      <c r="BY25" s="330">
        <f t="shared" si="39"/>
        <v>1476</v>
      </c>
      <c r="BZ25" s="301">
        <f t="shared" si="34"/>
        <v>1476</v>
      </c>
      <c r="CA25" s="301"/>
      <c r="CB25" s="306"/>
      <c r="CC25" s="307"/>
    </row>
    <row r="26" spans="1:81" ht="12.75">
      <c r="A26" s="137" t="s">
        <v>76</v>
      </c>
      <c r="B26" s="140"/>
      <c r="C26" s="299"/>
      <c r="D26" s="120"/>
      <c r="E26" s="300"/>
      <c r="F26" s="301">
        <f t="shared" si="22"/>
        <v>0</v>
      </c>
      <c r="G26" s="371"/>
      <c r="H26" s="302"/>
      <c r="I26" s="303"/>
      <c r="J26" s="120"/>
      <c r="K26" s="300"/>
      <c r="L26" s="301">
        <f t="shared" si="2"/>
        <v>0</v>
      </c>
      <c r="M26" s="304"/>
      <c r="N26" s="302"/>
      <c r="O26" s="299"/>
      <c r="P26" s="120"/>
      <c r="Q26" s="300"/>
      <c r="R26" s="301">
        <f t="shared" si="4"/>
        <v>0</v>
      </c>
      <c r="S26" s="304"/>
      <c r="T26" s="302"/>
      <c r="U26" s="299"/>
      <c r="V26" s="120"/>
      <c r="W26" s="300">
        <v>-1.5</v>
      </c>
      <c r="X26" s="301">
        <f t="shared" si="6"/>
        <v>-1.5</v>
      </c>
      <c r="Y26" s="304"/>
      <c r="Z26" s="302"/>
      <c r="AA26" s="299"/>
      <c r="AB26" s="120"/>
      <c r="AC26" s="300">
        <v>-57.4</v>
      </c>
      <c r="AD26" s="301">
        <f t="shared" si="8"/>
        <v>-57.4</v>
      </c>
      <c r="AE26" s="304"/>
      <c r="AF26" s="302"/>
      <c r="AG26" s="299"/>
      <c r="AH26" s="120"/>
      <c r="AI26" s="300"/>
      <c r="AJ26" s="301">
        <f t="shared" si="10"/>
        <v>0</v>
      </c>
      <c r="AK26" s="304"/>
      <c r="AL26" s="302"/>
      <c r="AM26" s="299"/>
      <c r="AN26" s="120"/>
      <c r="AO26" s="300"/>
      <c r="AP26" s="301">
        <f t="shared" si="12"/>
        <v>0</v>
      </c>
      <c r="AQ26" s="304"/>
      <c r="AR26" s="302"/>
      <c r="AS26" s="299"/>
      <c r="AT26" s="120"/>
      <c r="AU26" s="300"/>
      <c r="AV26" s="301">
        <f t="shared" si="14"/>
        <v>0</v>
      </c>
      <c r="AW26" s="304"/>
      <c r="AX26" s="296"/>
      <c r="AY26" s="299"/>
      <c r="AZ26" s="120"/>
      <c r="BA26" s="300"/>
      <c r="BB26" s="301">
        <f t="shared" si="16"/>
        <v>0</v>
      </c>
      <c r="BC26" s="304"/>
      <c r="BD26" s="296"/>
      <c r="BE26" s="299"/>
      <c r="BF26" s="120"/>
      <c r="BG26" s="300"/>
      <c r="BH26" s="301">
        <f t="shared" si="17"/>
        <v>0</v>
      </c>
      <c r="BI26" s="304"/>
      <c r="BJ26" s="302"/>
      <c r="BK26" s="299"/>
      <c r="BL26" s="120"/>
      <c r="BM26" s="300"/>
      <c r="BN26" s="301">
        <f t="shared" si="19"/>
        <v>0</v>
      </c>
      <c r="BO26" s="304"/>
      <c r="BP26" s="302"/>
      <c r="BQ26" s="299"/>
      <c r="BR26" s="120"/>
      <c r="BS26" s="300"/>
      <c r="BT26" s="301">
        <f t="shared" si="32"/>
        <v>0</v>
      </c>
      <c r="BU26" s="304"/>
      <c r="BV26" s="302"/>
      <c r="BW26" s="305">
        <f t="shared" si="40"/>
        <v>0</v>
      </c>
      <c r="BX26" s="330">
        <f t="shared" si="39"/>
        <v>0</v>
      </c>
      <c r="BY26" s="330">
        <f t="shared" si="39"/>
        <v>-58.9</v>
      </c>
      <c r="BZ26" s="301">
        <f t="shared" si="34"/>
        <v>-58.9</v>
      </c>
      <c r="CA26" s="301"/>
      <c r="CB26" s="306"/>
      <c r="CC26" s="141"/>
    </row>
    <row r="27" spans="1:81" ht="12.75">
      <c r="A27" s="137" t="s">
        <v>77</v>
      </c>
      <c r="B27" s="140"/>
      <c r="C27" s="299">
        <v>221.1</v>
      </c>
      <c r="D27" s="120">
        <v>155</v>
      </c>
      <c r="E27" s="300">
        <v>1001.9</v>
      </c>
      <c r="F27" s="301">
        <f t="shared" si="22"/>
        <v>846.9</v>
      </c>
      <c r="G27" s="386" t="s">
        <v>27</v>
      </c>
      <c r="H27" s="374" t="s">
        <v>27</v>
      </c>
      <c r="I27" s="303">
        <v>6.8</v>
      </c>
      <c r="J27" s="120">
        <v>6.5</v>
      </c>
      <c r="K27" s="300">
        <v>7.4</v>
      </c>
      <c r="L27" s="301">
        <f t="shared" si="2"/>
        <v>0.9000000000000004</v>
      </c>
      <c r="M27" s="304">
        <f t="shared" si="38"/>
        <v>113.84615384615385</v>
      </c>
      <c r="N27" s="302">
        <f t="shared" si="24"/>
        <v>108.82352941176471</v>
      </c>
      <c r="O27" s="299">
        <v>57.4</v>
      </c>
      <c r="P27" s="120">
        <v>15.3</v>
      </c>
      <c r="Q27" s="300">
        <v>18.3</v>
      </c>
      <c r="R27" s="301">
        <f t="shared" si="4"/>
        <v>3</v>
      </c>
      <c r="S27" s="304">
        <f>Q27/P27%</f>
        <v>119.6078431372549</v>
      </c>
      <c r="T27" s="302">
        <f>Q27/O27%</f>
        <v>31.8815331010453</v>
      </c>
      <c r="U27" s="299">
        <v>26</v>
      </c>
      <c r="V27" s="120">
        <v>6.5</v>
      </c>
      <c r="W27" s="300">
        <v>6</v>
      </c>
      <c r="X27" s="301">
        <f t="shared" si="6"/>
        <v>-0.5</v>
      </c>
      <c r="Y27" s="304">
        <f t="shared" si="41"/>
        <v>92.3076923076923</v>
      </c>
      <c r="Z27" s="302">
        <f aca="true" t="shared" si="42" ref="Z27:Z33">W27/U27%</f>
        <v>23.076923076923077</v>
      </c>
      <c r="AA27" s="299">
        <v>5.2</v>
      </c>
      <c r="AB27" s="120">
        <v>5.2</v>
      </c>
      <c r="AC27" s="300"/>
      <c r="AD27" s="301">
        <f t="shared" si="8"/>
        <v>-5.2</v>
      </c>
      <c r="AE27" s="304"/>
      <c r="AF27" s="302"/>
      <c r="AG27" s="299">
        <v>30.8</v>
      </c>
      <c r="AH27" s="120">
        <v>24.8</v>
      </c>
      <c r="AI27" s="300">
        <v>43.6</v>
      </c>
      <c r="AJ27" s="301">
        <f t="shared" si="10"/>
        <v>18.8</v>
      </c>
      <c r="AK27" s="304">
        <f aca="true" t="shared" si="43" ref="AK27:AK33">AI27/AH27%</f>
        <v>175.80645161290323</v>
      </c>
      <c r="AL27" s="302">
        <f t="shared" si="26"/>
        <v>141.55844155844156</v>
      </c>
      <c r="AM27" s="299">
        <v>54.6</v>
      </c>
      <c r="AN27" s="120">
        <v>0.3</v>
      </c>
      <c r="AO27" s="300">
        <v>0.3</v>
      </c>
      <c r="AP27" s="301">
        <f t="shared" si="12"/>
        <v>0</v>
      </c>
      <c r="AQ27" s="304"/>
      <c r="AR27" s="302"/>
      <c r="AS27" s="299">
        <v>30.5</v>
      </c>
      <c r="AT27" s="120">
        <v>14.1</v>
      </c>
      <c r="AU27" s="300">
        <v>14.1</v>
      </c>
      <c r="AV27" s="301">
        <f t="shared" si="14"/>
        <v>0</v>
      </c>
      <c r="AW27" s="304">
        <f aca="true" t="shared" si="44" ref="AW27:AW33">AU27/AT27%</f>
        <v>100</v>
      </c>
      <c r="AX27" s="296">
        <f t="shared" si="28"/>
        <v>46.22950819672131</v>
      </c>
      <c r="AY27" s="299">
        <v>131.1</v>
      </c>
      <c r="AZ27" s="120">
        <v>131.1</v>
      </c>
      <c r="BA27" s="300">
        <v>406.9</v>
      </c>
      <c r="BB27" s="301">
        <f t="shared" si="16"/>
        <v>275.79999999999995</v>
      </c>
      <c r="BC27" s="373" t="s">
        <v>27</v>
      </c>
      <c r="BD27" s="375" t="s">
        <v>27</v>
      </c>
      <c r="BE27" s="299">
        <v>5.7</v>
      </c>
      <c r="BF27" s="120">
        <v>5.7</v>
      </c>
      <c r="BG27" s="300">
        <v>4.6</v>
      </c>
      <c r="BH27" s="301">
        <f t="shared" si="17"/>
        <v>-1.1000000000000005</v>
      </c>
      <c r="BI27" s="304">
        <f>BG27/BF27%</f>
        <v>80.7017543859649</v>
      </c>
      <c r="BJ27" s="302">
        <f t="shared" si="30"/>
        <v>80.7017543859649</v>
      </c>
      <c r="BK27" s="299">
        <v>74</v>
      </c>
      <c r="BL27" s="120">
        <v>27.9</v>
      </c>
      <c r="BM27" s="300">
        <v>22.5</v>
      </c>
      <c r="BN27" s="301">
        <f t="shared" si="19"/>
        <v>-5.399999999999999</v>
      </c>
      <c r="BO27" s="304">
        <f>BM27/BL27%</f>
        <v>80.64516129032259</v>
      </c>
      <c r="BP27" s="302">
        <f>BM27/BK27%</f>
        <v>30.405405405405407</v>
      </c>
      <c r="BQ27" s="299">
        <v>189.3</v>
      </c>
      <c r="BR27" s="120">
        <v>163.9</v>
      </c>
      <c r="BS27" s="300">
        <v>185.3</v>
      </c>
      <c r="BT27" s="301">
        <f t="shared" si="32"/>
        <v>21.400000000000006</v>
      </c>
      <c r="BU27" s="304">
        <f>BS27/BR27%</f>
        <v>113.05674191580232</v>
      </c>
      <c r="BV27" s="302"/>
      <c r="BW27" s="305">
        <f t="shared" si="40"/>
        <v>832.5</v>
      </c>
      <c r="BX27" s="330">
        <f t="shared" si="39"/>
        <v>556.3</v>
      </c>
      <c r="BY27" s="330">
        <f t="shared" si="39"/>
        <v>1710.8999999999994</v>
      </c>
      <c r="BZ27" s="301">
        <f t="shared" si="34"/>
        <v>1154.5999999999995</v>
      </c>
      <c r="CA27" s="301">
        <f t="shared" si="35"/>
        <v>307.5498831565701</v>
      </c>
      <c r="CB27" s="306">
        <f t="shared" si="36"/>
        <v>205.51351351351346</v>
      </c>
      <c r="CC27" s="141"/>
    </row>
    <row r="28" spans="1:80" s="298" customFormat="1" ht="12.75">
      <c r="A28" s="290" t="s">
        <v>78</v>
      </c>
      <c r="B28" s="291"/>
      <c r="C28" s="292">
        <f>SUM(C29:C32)</f>
        <v>275148.2</v>
      </c>
      <c r="D28" s="293">
        <f>SUM(D29:D32)</f>
        <v>246970.19999999998</v>
      </c>
      <c r="E28" s="294">
        <f>SUM(E29:E32)</f>
        <v>162671.90000000002</v>
      </c>
      <c r="F28" s="293">
        <f>E28-D28</f>
        <v>-84298.29999999996</v>
      </c>
      <c r="G28" s="295">
        <f t="shared" si="0"/>
        <v>65.86701553466776</v>
      </c>
      <c r="H28" s="302">
        <f>E28/C28%</f>
        <v>59.12155703726211</v>
      </c>
      <c r="I28" s="294">
        <f>SUM(I29:I32)</f>
        <v>13802</v>
      </c>
      <c r="J28" s="293">
        <f>SUM(J29:J32)</f>
        <v>13754.9</v>
      </c>
      <c r="K28" s="294">
        <f>SUM(K29:K32)</f>
        <v>13603.9</v>
      </c>
      <c r="L28" s="293">
        <f>K28-J28</f>
        <v>-151</v>
      </c>
      <c r="M28" s="295">
        <f t="shared" si="38"/>
        <v>98.90220939447033</v>
      </c>
      <c r="N28" s="296">
        <f t="shared" si="24"/>
        <v>98.56470076800463</v>
      </c>
      <c r="O28" s="292">
        <f>SUM(O29:O32)</f>
        <v>26612.4</v>
      </c>
      <c r="P28" s="293">
        <f>SUM(P29:P32)</f>
        <v>19597.899999999998</v>
      </c>
      <c r="Q28" s="294">
        <f>SUM(Q29:Q32)</f>
        <v>19599</v>
      </c>
      <c r="R28" s="293">
        <f>Q28-P28</f>
        <v>1.1000000000021828</v>
      </c>
      <c r="S28" s="295">
        <f>Q28/P28%</f>
        <v>100.00561284627436</v>
      </c>
      <c r="T28" s="296">
        <f t="shared" si="37"/>
        <v>73.64611985390269</v>
      </c>
      <c r="U28" s="292">
        <f>SUM(U29:U32)</f>
        <v>1791.1000000000001</v>
      </c>
      <c r="V28" s="293">
        <f>SUM(V29:V32)</f>
        <v>1298.7</v>
      </c>
      <c r="W28" s="294">
        <f>SUM(W29:W32)</f>
        <v>1360.6999999999998</v>
      </c>
      <c r="X28" s="293">
        <f t="shared" si="6"/>
        <v>61.99999999999977</v>
      </c>
      <c r="Y28" s="295">
        <f>W28/V28%</f>
        <v>104.77400477400477</v>
      </c>
      <c r="Z28" s="296">
        <f t="shared" si="42"/>
        <v>75.97007425604376</v>
      </c>
      <c r="AA28" s="292">
        <f>SUM(AA29:AA32)</f>
        <v>6895.299999999999</v>
      </c>
      <c r="AB28" s="293">
        <f>SUM(AB29:AB32)</f>
        <v>6242.5</v>
      </c>
      <c r="AC28" s="294">
        <f>SUM(AC29:AC32)</f>
        <v>6361.700000000001</v>
      </c>
      <c r="AD28" s="293">
        <f t="shared" si="8"/>
        <v>119.20000000000073</v>
      </c>
      <c r="AE28" s="295">
        <f aca="true" t="shared" si="45" ref="AE28:AE33">AC28/AB28%</f>
        <v>101.90949138966762</v>
      </c>
      <c r="AF28" s="296">
        <f t="shared" si="25"/>
        <v>92.26139544327297</v>
      </c>
      <c r="AG28" s="292">
        <f>SUM(AG29:AG32)</f>
        <v>55900.4</v>
      </c>
      <c r="AH28" s="293">
        <f>SUM(AH29:AH32)</f>
        <v>43210</v>
      </c>
      <c r="AI28" s="294">
        <f>SUM(AI29:AI32)</f>
        <v>20472.1</v>
      </c>
      <c r="AJ28" s="293">
        <f t="shared" si="10"/>
        <v>-22737.9</v>
      </c>
      <c r="AK28" s="295">
        <f t="shared" si="43"/>
        <v>47.37815320527655</v>
      </c>
      <c r="AL28" s="296">
        <f t="shared" si="26"/>
        <v>36.62245708438579</v>
      </c>
      <c r="AM28" s="292">
        <f>SUM(AM29:AM32)</f>
        <v>8297</v>
      </c>
      <c r="AN28" s="293">
        <f>SUM(AN29:AN32)</f>
        <v>6957.1</v>
      </c>
      <c r="AO28" s="294">
        <f>SUM(AO29:AO32)</f>
        <v>6957.2</v>
      </c>
      <c r="AP28" s="293">
        <f t="shared" si="12"/>
        <v>0.0999999999994543</v>
      </c>
      <c r="AQ28" s="295">
        <f aca="true" t="shared" si="46" ref="AQ28:AQ33">AO28/AN28%</f>
        <v>100.00143738051774</v>
      </c>
      <c r="AR28" s="296">
        <f t="shared" si="27"/>
        <v>83.85199469687839</v>
      </c>
      <c r="AS28" s="292">
        <f>SUM(AS29:AS32)</f>
        <v>9312.1</v>
      </c>
      <c r="AT28" s="293">
        <f>SUM(AT29:AT32)</f>
        <v>8391.599999999999</v>
      </c>
      <c r="AU28" s="294">
        <f>SUM(AU29:AU32)</f>
        <v>7898.5</v>
      </c>
      <c r="AV28" s="293">
        <f t="shared" si="14"/>
        <v>-493.09999999999854</v>
      </c>
      <c r="AW28" s="295">
        <f t="shared" si="44"/>
        <v>94.12388579055248</v>
      </c>
      <c r="AX28" s="296">
        <f t="shared" si="28"/>
        <v>84.81975064700765</v>
      </c>
      <c r="AY28" s="292">
        <f>SUM(AY29:AY32)</f>
        <v>4794.5</v>
      </c>
      <c r="AZ28" s="293">
        <f>SUM(AZ29:AZ32)</f>
        <v>3413.8</v>
      </c>
      <c r="BA28" s="294">
        <f>SUM(BA29:BA32)</f>
        <v>4581.4</v>
      </c>
      <c r="BB28" s="293">
        <f t="shared" si="16"/>
        <v>1167.5999999999995</v>
      </c>
      <c r="BC28" s="295">
        <f>BA28/AZ28%</f>
        <v>134.20235514675724</v>
      </c>
      <c r="BD28" s="296">
        <f t="shared" si="29"/>
        <v>95.5553238085306</v>
      </c>
      <c r="BE28" s="292">
        <f>SUM(BE29:BE32)</f>
        <v>6094.299999999999</v>
      </c>
      <c r="BF28" s="293">
        <f>SUM(BF29:BF32)</f>
        <v>5485.700000000001</v>
      </c>
      <c r="BG28" s="294">
        <f>SUM(BG29:BG32)</f>
        <v>5437.1</v>
      </c>
      <c r="BH28" s="293">
        <f>BG28-BF28</f>
        <v>-48.600000000000364</v>
      </c>
      <c r="BI28" s="295">
        <f>BG28/BF28%</f>
        <v>99.11406019286508</v>
      </c>
      <c r="BJ28" s="296">
        <f t="shared" si="30"/>
        <v>89.21615279851666</v>
      </c>
      <c r="BK28" s="292">
        <f>SUM(BK29:BK32)</f>
        <v>64334.1</v>
      </c>
      <c r="BL28" s="293">
        <f>SUM(BL29:BL32)</f>
        <v>15434.2</v>
      </c>
      <c r="BM28" s="294">
        <f>SUM(BM29:BM32)</f>
        <v>15434.2</v>
      </c>
      <c r="BN28" s="293">
        <f>BM28-BL28</f>
        <v>0</v>
      </c>
      <c r="BO28" s="295">
        <f>BM28/BL28%</f>
        <v>100</v>
      </c>
      <c r="BP28" s="296">
        <f t="shared" si="31"/>
        <v>23.990698556442073</v>
      </c>
      <c r="BQ28" s="292">
        <f>SUM(BQ29:BQ32)</f>
        <v>59969.600000000006</v>
      </c>
      <c r="BR28" s="293">
        <f>SUM(BR29:BR32)</f>
        <v>36142.7</v>
      </c>
      <c r="BS28" s="294">
        <f>SUM(BS29:BS32)</f>
        <v>36142.7</v>
      </c>
      <c r="BT28" s="293">
        <f>BS28-BR28</f>
        <v>0</v>
      </c>
      <c r="BU28" s="295">
        <f>BS28/BR28%</f>
        <v>100</v>
      </c>
      <c r="BV28" s="296">
        <f t="shared" si="33"/>
        <v>60.2683693071156</v>
      </c>
      <c r="BW28" s="292">
        <f t="shared" si="40"/>
        <v>532951</v>
      </c>
      <c r="BX28" s="292">
        <f t="shared" si="39"/>
        <v>406899.3</v>
      </c>
      <c r="BY28" s="292">
        <f t="shared" si="39"/>
        <v>300520.4000000001</v>
      </c>
      <c r="BZ28" s="293">
        <f>BY28-BX28</f>
        <v>-106378.8999999999</v>
      </c>
      <c r="CA28" s="293">
        <f>BY28/BX28%</f>
        <v>73.85620963221123</v>
      </c>
      <c r="CB28" s="297">
        <f t="shared" si="36"/>
        <v>56.38799814617105</v>
      </c>
    </row>
    <row r="29" spans="1:80" s="134" customFormat="1" ht="12.75">
      <c r="A29" s="142" t="s">
        <v>79</v>
      </c>
      <c r="B29" s="143"/>
      <c r="C29" s="299">
        <v>313.7</v>
      </c>
      <c r="D29" s="120">
        <v>213.7</v>
      </c>
      <c r="E29" s="300">
        <v>214</v>
      </c>
      <c r="F29" s="301">
        <f t="shared" si="22"/>
        <v>0.30000000000001137</v>
      </c>
      <c r="G29" s="372">
        <f t="shared" si="0"/>
        <v>100.14038371548901</v>
      </c>
      <c r="H29" s="302"/>
      <c r="I29" s="303">
        <v>8245.1</v>
      </c>
      <c r="J29" s="120">
        <v>8245.1</v>
      </c>
      <c r="K29" s="300">
        <v>8235.1</v>
      </c>
      <c r="L29" s="301">
        <f>K29-J29</f>
        <v>-10</v>
      </c>
      <c r="M29" s="304">
        <f t="shared" si="38"/>
        <v>99.87871584334938</v>
      </c>
      <c r="N29" s="302">
        <f t="shared" si="24"/>
        <v>99.87871584334938</v>
      </c>
      <c r="O29" s="299">
        <v>17947.4</v>
      </c>
      <c r="P29" s="120">
        <v>16142.9</v>
      </c>
      <c r="Q29" s="300">
        <v>16144.7</v>
      </c>
      <c r="R29" s="301">
        <f t="shared" si="4"/>
        <v>1.8000000000010914</v>
      </c>
      <c r="S29" s="304">
        <f>Q29/P29%</f>
        <v>100.01115041287501</v>
      </c>
      <c r="T29" s="302">
        <f t="shared" si="37"/>
        <v>89.95564817188004</v>
      </c>
      <c r="U29" s="299">
        <v>46.3</v>
      </c>
      <c r="V29" s="120">
        <v>23.2</v>
      </c>
      <c r="W29" s="300">
        <v>29</v>
      </c>
      <c r="X29" s="301">
        <f t="shared" si="6"/>
        <v>5.800000000000001</v>
      </c>
      <c r="Y29" s="304">
        <f t="shared" si="41"/>
        <v>125.00000000000001</v>
      </c>
      <c r="Z29" s="296">
        <f t="shared" si="42"/>
        <v>62.634989200863934</v>
      </c>
      <c r="AA29" s="299">
        <v>5069.8</v>
      </c>
      <c r="AB29" s="120">
        <v>5027.9</v>
      </c>
      <c r="AC29" s="300">
        <v>4804.8</v>
      </c>
      <c r="AD29" s="301">
        <f t="shared" si="8"/>
        <v>-223.09999999999945</v>
      </c>
      <c r="AE29" s="304">
        <f t="shared" si="45"/>
        <v>95.56275980031425</v>
      </c>
      <c r="AF29" s="302">
        <f t="shared" si="25"/>
        <v>94.77296934790327</v>
      </c>
      <c r="AG29" s="299">
        <v>11841</v>
      </c>
      <c r="AH29" s="120">
        <v>8880.8</v>
      </c>
      <c r="AI29" s="300">
        <v>10643.8</v>
      </c>
      <c r="AJ29" s="301">
        <f t="shared" si="10"/>
        <v>1763</v>
      </c>
      <c r="AK29" s="304">
        <f t="shared" si="43"/>
        <v>119.85181515178813</v>
      </c>
      <c r="AL29" s="302">
        <f t="shared" si="26"/>
        <v>89.8893674520733</v>
      </c>
      <c r="AM29" s="299">
        <v>6130.2</v>
      </c>
      <c r="AN29" s="120">
        <v>5404.4</v>
      </c>
      <c r="AO29" s="300">
        <v>5404.4</v>
      </c>
      <c r="AP29" s="301">
        <f t="shared" si="12"/>
        <v>0</v>
      </c>
      <c r="AQ29" s="304">
        <f t="shared" si="46"/>
        <v>100</v>
      </c>
      <c r="AR29" s="302">
        <f t="shared" si="27"/>
        <v>88.16025578284558</v>
      </c>
      <c r="AS29" s="299">
        <v>6452.1</v>
      </c>
      <c r="AT29" s="120">
        <v>5780.2</v>
      </c>
      <c r="AU29" s="300">
        <v>5723.4</v>
      </c>
      <c r="AV29" s="301">
        <f t="shared" si="14"/>
        <v>-56.80000000000018</v>
      </c>
      <c r="AW29" s="304">
        <f t="shared" si="44"/>
        <v>99.01733504031002</v>
      </c>
      <c r="AX29" s="302">
        <f t="shared" si="28"/>
        <v>88.70600269679639</v>
      </c>
      <c r="AY29" s="299">
        <v>3171.7</v>
      </c>
      <c r="AZ29" s="120">
        <v>3171.7</v>
      </c>
      <c r="BA29" s="300">
        <v>3161.7</v>
      </c>
      <c r="BB29" s="301">
        <f t="shared" si="16"/>
        <v>-10</v>
      </c>
      <c r="BC29" s="304">
        <f>BA29/AZ29%</f>
        <v>99.68471166882114</v>
      </c>
      <c r="BD29" s="296">
        <f t="shared" si="29"/>
        <v>99.68471166882114</v>
      </c>
      <c r="BE29" s="299">
        <v>4537.2</v>
      </c>
      <c r="BF29" s="120">
        <v>4426.8</v>
      </c>
      <c r="BG29" s="300">
        <v>4426.8</v>
      </c>
      <c r="BH29" s="301">
        <f t="shared" si="17"/>
        <v>0</v>
      </c>
      <c r="BI29" s="304">
        <f>BG29/BF29%</f>
        <v>100</v>
      </c>
      <c r="BJ29" s="302">
        <f t="shared" si="30"/>
        <v>97.56678127479503</v>
      </c>
      <c r="BK29" s="299">
        <v>13258.6</v>
      </c>
      <c r="BL29" s="120">
        <v>11018.2</v>
      </c>
      <c r="BM29" s="300">
        <v>11018.2</v>
      </c>
      <c r="BN29" s="301">
        <f t="shared" si="19"/>
        <v>0</v>
      </c>
      <c r="BO29" s="295">
        <f>BM29/BL29%</f>
        <v>100</v>
      </c>
      <c r="BP29" s="302">
        <f t="shared" si="31"/>
        <v>83.10228832606761</v>
      </c>
      <c r="BQ29" s="299">
        <v>11937.9</v>
      </c>
      <c r="BR29" s="120">
        <v>9781.9</v>
      </c>
      <c r="BS29" s="300">
        <v>9781.9</v>
      </c>
      <c r="BT29" s="301">
        <f t="shared" si="32"/>
        <v>0</v>
      </c>
      <c r="BU29" s="304">
        <f>BS29/BR29%</f>
        <v>100</v>
      </c>
      <c r="BV29" s="302">
        <f t="shared" si="33"/>
        <v>81.93987217182251</v>
      </c>
      <c r="BW29" s="305">
        <f t="shared" si="40"/>
        <v>88950.99999999999</v>
      </c>
      <c r="BX29" s="222">
        <f t="shared" si="39"/>
        <v>78116.8</v>
      </c>
      <c r="BY29" s="222">
        <f t="shared" si="39"/>
        <v>79587.8</v>
      </c>
      <c r="BZ29" s="221">
        <f>BY29-BX29</f>
        <v>1471</v>
      </c>
      <c r="CA29" s="301">
        <f>BY29/BX29%</f>
        <v>101.88307764782992</v>
      </c>
      <c r="CB29" s="306">
        <f t="shared" si="36"/>
        <v>89.47375521354455</v>
      </c>
    </row>
    <row r="30" spans="1:80" s="134" customFormat="1" ht="12.75">
      <c r="A30" s="144" t="s">
        <v>80</v>
      </c>
      <c r="B30" s="143"/>
      <c r="C30" s="299">
        <v>0.2</v>
      </c>
      <c r="D30" s="120">
        <v>0.2</v>
      </c>
      <c r="E30" s="300">
        <v>0.2</v>
      </c>
      <c r="F30" s="301">
        <f t="shared" si="22"/>
        <v>0</v>
      </c>
      <c r="G30" s="372">
        <f t="shared" si="0"/>
        <v>100</v>
      </c>
      <c r="H30" s="302">
        <f>E30/C30%</f>
        <v>100</v>
      </c>
      <c r="I30" s="303">
        <v>192.9</v>
      </c>
      <c r="J30" s="120">
        <v>145.8</v>
      </c>
      <c r="K30" s="300">
        <v>142.3</v>
      </c>
      <c r="L30" s="301">
        <f>K30-J30</f>
        <v>-3.5</v>
      </c>
      <c r="M30" s="304">
        <f t="shared" si="38"/>
        <v>97.599451303155</v>
      </c>
      <c r="N30" s="302">
        <f t="shared" si="24"/>
        <v>73.76879212026958</v>
      </c>
      <c r="O30" s="299">
        <v>192.9</v>
      </c>
      <c r="P30" s="120">
        <v>157.8</v>
      </c>
      <c r="Q30" s="300">
        <v>157.1</v>
      </c>
      <c r="R30" s="301">
        <f t="shared" si="4"/>
        <v>-0.700000000000017</v>
      </c>
      <c r="S30" s="304">
        <f>Q30/P30%</f>
        <v>99.55640050697085</v>
      </c>
      <c r="T30" s="302">
        <f t="shared" si="37"/>
        <v>81.44116122343182</v>
      </c>
      <c r="U30" s="299">
        <v>192.9</v>
      </c>
      <c r="V30" s="120">
        <v>129.6</v>
      </c>
      <c r="W30" s="300">
        <v>129.6</v>
      </c>
      <c r="X30" s="301">
        <f t="shared" si="6"/>
        <v>0</v>
      </c>
      <c r="Y30" s="304">
        <f t="shared" si="41"/>
        <v>99.99999999999999</v>
      </c>
      <c r="Z30" s="302">
        <f t="shared" si="42"/>
        <v>67.18506998444789</v>
      </c>
      <c r="AA30" s="299">
        <v>192.9</v>
      </c>
      <c r="AB30" s="120">
        <v>142.3</v>
      </c>
      <c r="AC30" s="300">
        <v>137.8</v>
      </c>
      <c r="AD30" s="301">
        <f t="shared" si="8"/>
        <v>-4.5</v>
      </c>
      <c r="AE30" s="304">
        <f t="shared" si="45"/>
        <v>96.83766690091356</v>
      </c>
      <c r="AF30" s="302">
        <f t="shared" si="25"/>
        <v>71.43597719025402</v>
      </c>
      <c r="AG30" s="299">
        <v>385.6</v>
      </c>
      <c r="AH30" s="120">
        <v>284.4</v>
      </c>
      <c r="AI30" s="300">
        <v>284.3</v>
      </c>
      <c r="AJ30" s="301">
        <f t="shared" si="10"/>
        <v>-0.0999999999999659</v>
      </c>
      <c r="AK30" s="304">
        <f t="shared" si="43"/>
        <v>99.96483825597751</v>
      </c>
      <c r="AL30" s="302">
        <f t="shared" si="26"/>
        <v>73.72925311203319</v>
      </c>
      <c r="AM30" s="299">
        <v>192.9</v>
      </c>
      <c r="AN30" s="120">
        <v>151.3</v>
      </c>
      <c r="AO30" s="300">
        <v>151.3</v>
      </c>
      <c r="AP30" s="301">
        <f t="shared" si="12"/>
        <v>0</v>
      </c>
      <c r="AQ30" s="304">
        <f t="shared" si="46"/>
        <v>100</v>
      </c>
      <c r="AR30" s="302">
        <f t="shared" si="27"/>
        <v>78.43442198030068</v>
      </c>
      <c r="AS30" s="299">
        <v>192.9</v>
      </c>
      <c r="AT30" s="120">
        <v>147.9</v>
      </c>
      <c r="AU30" s="300">
        <v>154</v>
      </c>
      <c r="AV30" s="301">
        <f t="shared" si="14"/>
        <v>6.099999999999994</v>
      </c>
      <c r="AW30" s="304">
        <f t="shared" si="44"/>
        <v>104.12440838404326</v>
      </c>
      <c r="AX30" s="302">
        <f t="shared" si="28"/>
        <v>79.83411093831</v>
      </c>
      <c r="AY30" s="299">
        <v>192.9</v>
      </c>
      <c r="AZ30" s="120">
        <v>142.3</v>
      </c>
      <c r="BA30" s="300">
        <v>139.8</v>
      </c>
      <c r="BB30" s="301">
        <f t="shared" si="16"/>
        <v>-2.5</v>
      </c>
      <c r="BC30" s="304">
        <f>BA30/AZ30%</f>
        <v>98.24314827828532</v>
      </c>
      <c r="BD30" s="302">
        <f t="shared" si="29"/>
        <v>72.47278382581649</v>
      </c>
      <c r="BE30" s="299">
        <v>192.9</v>
      </c>
      <c r="BF30" s="120">
        <v>141.6</v>
      </c>
      <c r="BG30" s="300">
        <v>141.6</v>
      </c>
      <c r="BH30" s="301">
        <f t="shared" si="17"/>
        <v>0</v>
      </c>
      <c r="BI30" s="304">
        <f>BG30/BF30%</f>
        <v>100</v>
      </c>
      <c r="BJ30" s="302">
        <f t="shared" si="30"/>
        <v>73.4059097978227</v>
      </c>
      <c r="BK30" s="299">
        <v>192.9</v>
      </c>
      <c r="BL30" s="120">
        <v>143</v>
      </c>
      <c r="BM30" s="300">
        <v>143</v>
      </c>
      <c r="BN30" s="301">
        <f t="shared" si="19"/>
        <v>0</v>
      </c>
      <c r="BO30" s="295">
        <f>BM30/BL30%</f>
        <v>100</v>
      </c>
      <c r="BP30" s="302">
        <f t="shared" si="31"/>
        <v>74.13167444271643</v>
      </c>
      <c r="BQ30" s="337">
        <v>192.9</v>
      </c>
      <c r="BR30" s="120">
        <v>136.9</v>
      </c>
      <c r="BS30" s="300">
        <v>136.9</v>
      </c>
      <c r="BT30" s="301">
        <f t="shared" si="32"/>
        <v>0</v>
      </c>
      <c r="BU30" s="304">
        <f>BS30/BR30%</f>
        <v>100</v>
      </c>
      <c r="BV30" s="302">
        <f t="shared" si="33"/>
        <v>70.96941420425091</v>
      </c>
      <c r="BW30" s="305">
        <f t="shared" si="40"/>
        <v>2314.8000000000006</v>
      </c>
      <c r="BX30" s="222">
        <f t="shared" si="39"/>
        <v>1723.1000000000001</v>
      </c>
      <c r="BY30" s="222">
        <f t="shared" si="39"/>
        <v>1717.8999999999999</v>
      </c>
      <c r="BZ30" s="221">
        <f>BY30-BX30</f>
        <v>-5.200000000000273</v>
      </c>
      <c r="CA30" s="301">
        <f>BY30/BX30%</f>
        <v>99.6982183274331</v>
      </c>
      <c r="CB30" s="306">
        <f t="shared" si="36"/>
        <v>74.21375496803176</v>
      </c>
    </row>
    <row r="31" spans="1:82" s="134" customFormat="1" ht="12.75">
      <c r="A31" s="142" t="s">
        <v>81</v>
      </c>
      <c r="B31" s="143"/>
      <c r="C31" s="299">
        <v>274834.3</v>
      </c>
      <c r="D31" s="120">
        <v>246756.3</v>
      </c>
      <c r="E31" s="300">
        <v>162457.7</v>
      </c>
      <c r="F31" s="301">
        <f t="shared" si="22"/>
        <v>-84298.59999999998</v>
      </c>
      <c r="G31" s="372">
        <f t="shared" si="0"/>
        <v>65.83730587628361</v>
      </c>
      <c r="H31" s="302">
        <f>E31/C31%</f>
        <v>59.11114442411301</v>
      </c>
      <c r="I31" s="303">
        <v>5364</v>
      </c>
      <c r="J31" s="120">
        <v>5364</v>
      </c>
      <c r="K31" s="300">
        <v>5226.5</v>
      </c>
      <c r="L31" s="301">
        <f t="shared" si="2"/>
        <v>-137.5</v>
      </c>
      <c r="M31" s="304">
        <f t="shared" si="38"/>
        <v>97.43661446681581</v>
      </c>
      <c r="N31" s="302">
        <f t="shared" si="24"/>
        <v>97.43661446681581</v>
      </c>
      <c r="O31" s="299">
        <v>8472.1</v>
      </c>
      <c r="P31" s="120">
        <v>3297.2</v>
      </c>
      <c r="Q31" s="300">
        <v>3297.2</v>
      </c>
      <c r="R31" s="301">
        <f t="shared" si="4"/>
        <v>0</v>
      </c>
      <c r="S31" s="304">
        <f>Q31/P31%</f>
        <v>99.99999999999999</v>
      </c>
      <c r="T31" s="302">
        <f t="shared" si="37"/>
        <v>38.91833193659187</v>
      </c>
      <c r="U31" s="299">
        <v>1551.9</v>
      </c>
      <c r="V31" s="120">
        <v>1145.9</v>
      </c>
      <c r="W31" s="300">
        <v>1202.1</v>
      </c>
      <c r="X31" s="301">
        <f t="shared" si="6"/>
        <v>56.19999999999982</v>
      </c>
      <c r="Y31" s="304">
        <f t="shared" si="41"/>
        <v>104.90444192337898</v>
      </c>
      <c r="Z31" s="302">
        <f t="shared" si="42"/>
        <v>77.45988787937367</v>
      </c>
      <c r="AA31" s="299">
        <v>1632.6</v>
      </c>
      <c r="AB31" s="120">
        <v>1072.3</v>
      </c>
      <c r="AC31" s="300">
        <v>1419.1</v>
      </c>
      <c r="AD31" s="301">
        <f t="shared" si="8"/>
        <v>346.79999999999995</v>
      </c>
      <c r="AE31" s="304">
        <f t="shared" si="45"/>
        <v>132.34169542105755</v>
      </c>
      <c r="AF31" s="302">
        <f t="shared" si="25"/>
        <v>86.9226999877496</v>
      </c>
      <c r="AG31" s="299">
        <v>43673.8</v>
      </c>
      <c r="AH31" s="120">
        <v>34044.8</v>
      </c>
      <c r="AI31" s="300">
        <v>9544</v>
      </c>
      <c r="AJ31" s="301">
        <f t="shared" si="10"/>
        <v>-24500.800000000003</v>
      </c>
      <c r="AK31" s="304">
        <f t="shared" si="43"/>
        <v>28.033649779114576</v>
      </c>
      <c r="AL31" s="302">
        <f t="shared" si="26"/>
        <v>21.852918683512765</v>
      </c>
      <c r="AM31" s="299">
        <v>1973.9</v>
      </c>
      <c r="AN31" s="120">
        <v>1401.4</v>
      </c>
      <c r="AO31" s="300">
        <v>1401.5</v>
      </c>
      <c r="AP31" s="301">
        <f t="shared" si="12"/>
        <v>0.09999999999990905</v>
      </c>
      <c r="AQ31" s="304">
        <f t="shared" si="46"/>
        <v>100.00713572142143</v>
      </c>
      <c r="AR31" s="302">
        <f t="shared" si="27"/>
        <v>71.00157049495921</v>
      </c>
      <c r="AS31" s="299">
        <v>2667.1</v>
      </c>
      <c r="AT31" s="120">
        <v>2463.5</v>
      </c>
      <c r="AU31" s="300">
        <v>2021.1</v>
      </c>
      <c r="AV31" s="301">
        <f t="shared" si="14"/>
        <v>-442.4000000000001</v>
      </c>
      <c r="AW31" s="304">
        <f t="shared" si="44"/>
        <v>82.04181043231175</v>
      </c>
      <c r="AX31" s="302">
        <f t="shared" si="28"/>
        <v>75.77893592291252</v>
      </c>
      <c r="AY31" s="299">
        <v>1429.9</v>
      </c>
      <c r="AZ31" s="120">
        <v>99.8</v>
      </c>
      <c r="BA31" s="300">
        <v>1279.9</v>
      </c>
      <c r="BB31" s="301">
        <f t="shared" si="16"/>
        <v>1180.1000000000001</v>
      </c>
      <c r="BC31" s="304">
        <f>BA31/AZ31%</f>
        <v>1282.4649298597196</v>
      </c>
      <c r="BD31" s="302">
        <f t="shared" si="29"/>
        <v>89.50975592698789</v>
      </c>
      <c r="BE31" s="299">
        <v>1364.2</v>
      </c>
      <c r="BF31" s="120">
        <v>917.3</v>
      </c>
      <c r="BG31" s="300">
        <v>868.7</v>
      </c>
      <c r="BH31" s="301">
        <f t="shared" si="17"/>
        <v>-48.59999999999991</v>
      </c>
      <c r="BI31" s="304">
        <f>BG31/BF31%</f>
        <v>94.70184236345798</v>
      </c>
      <c r="BJ31" s="302">
        <f t="shared" si="30"/>
        <v>63.678346283536136</v>
      </c>
      <c r="BK31" s="299">
        <v>50882.6</v>
      </c>
      <c r="BL31" s="120">
        <v>4273</v>
      </c>
      <c r="BM31" s="300">
        <v>4273</v>
      </c>
      <c r="BN31" s="301">
        <f t="shared" si="19"/>
        <v>0</v>
      </c>
      <c r="BO31" s="295">
        <f>BM31/BL31%</f>
        <v>100.00000000000001</v>
      </c>
      <c r="BP31" s="302">
        <f t="shared" si="31"/>
        <v>8.39776269294415</v>
      </c>
      <c r="BQ31" s="299">
        <v>47838.8</v>
      </c>
      <c r="BR31" s="120">
        <v>26223.9</v>
      </c>
      <c r="BS31" s="300">
        <v>26223.9</v>
      </c>
      <c r="BT31" s="301">
        <f t="shared" si="32"/>
        <v>0</v>
      </c>
      <c r="BU31" s="304">
        <f>BS31/BR31%</f>
        <v>100</v>
      </c>
      <c r="BV31" s="302">
        <f t="shared" si="33"/>
        <v>54.817219495472294</v>
      </c>
      <c r="BW31" s="305">
        <f t="shared" si="40"/>
        <v>441685.19999999995</v>
      </c>
      <c r="BX31" s="222">
        <f t="shared" si="39"/>
        <v>327059.4</v>
      </c>
      <c r="BY31" s="222">
        <f t="shared" si="39"/>
        <v>219214.70000000004</v>
      </c>
      <c r="BZ31" s="221">
        <f>BY31-BX31</f>
        <v>-107844.69999999998</v>
      </c>
      <c r="CA31" s="301">
        <f>BY31/BX31%</f>
        <v>67.02595919884891</v>
      </c>
      <c r="CB31" s="306">
        <f t="shared" si="36"/>
        <v>49.63143433377438</v>
      </c>
      <c r="CC31" s="338"/>
      <c r="CD31" s="338"/>
    </row>
    <row r="32" spans="1:82" s="134" customFormat="1" ht="12.75" hidden="1">
      <c r="A32" s="142" t="s">
        <v>82</v>
      </c>
      <c r="B32" s="143"/>
      <c r="C32" s="299"/>
      <c r="D32" s="120"/>
      <c r="E32" s="300"/>
      <c r="F32" s="301">
        <f>E32-D32</f>
        <v>0</v>
      </c>
      <c r="G32" s="295" t="e">
        <f t="shared" si="0"/>
        <v>#DIV/0!</v>
      </c>
      <c r="H32" s="302"/>
      <c r="I32" s="303"/>
      <c r="J32" s="120"/>
      <c r="K32" s="300"/>
      <c r="L32" s="301">
        <f t="shared" si="2"/>
        <v>0</v>
      </c>
      <c r="M32" s="304" t="e">
        <f t="shared" si="38"/>
        <v>#DIV/0!</v>
      </c>
      <c r="N32" s="302"/>
      <c r="O32" s="299"/>
      <c r="P32" s="120"/>
      <c r="Q32" s="300"/>
      <c r="R32" s="301">
        <f t="shared" si="4"/>
        <v>0</v>
      </c>
      <c r="S32" s="304"/>
      <c r="T32" s="302"/>
      <c r="U32" s="299"/>
      <c r="V32" s="120"/>
      <c r="W32" s="300"/>
      <c r="X32" s="301">
        <f t="shared" si="6"/>
        <v>0</v>
      </c>
      <c r="Y32" s="304" t="e">
        <f>W32/V32%</f>
        <v>#DIV/0!</v>
      </c>
      <c r="Z32" s="302" t="e">
        <f t="shared" si="42"/>
        <v>#DIV/0!</v>
      </c>
      <c r="AA32" s="299"/>
      <c r="AB32" s="120"/>
      <c r="AC32" s="300"/>
      <c r="AD32" s="301">
        <f t="shared" si="8"/>
        <v>0</v>
      </c>
      <c r="AE32" s="304" t="e">
        <f t="shared" si="45"/>
        <v>#DIV/0!</v>
      </c>
      <c r="AF32" s="339" t="e">
        <f t="shared" si="25"/>
        <v>#DIV/0!</v>
      </c>
      <c r="AG32" s="299"/>
      <c r="AH32" s="120"/>
      <c r="AI32" s="300"/>
      <c r="AJ32" s="301">
        <f t="shared" si="10"/>
        <v>0</v>
      </c>
      <c r="AK32" s="304" t="e">
        <f t="shared" si="43"/>
        <v>#DIV/0!</v>
      </c>
      <c r="AL32" s="302" t="e">
        <f t="shared" si="26"/>
        <v>#DIV/0!</v>
      </c>
      <c r="AM32" s="299"/>
      <c r="AN32" s="120"/>
      <c r="AO32" s="300"/>
      <c r="AP32" s="301">
        <f t="shared" si="12"/>
        <v>0</v>
      </c>
      <c r="AQ32" s="304" t="e">
        <f t="shared" si="46"/>
        <v>#DIV/0!</v>
      </c>
      <c r="AR32" s="302" t="e">
        <f t="shared" si="27"/>
        <v>#DIV/0!</v>
      </c>
      <c r="AS32" s="299"/>
      <c r="AT32" s="120"/>
      <c r="AU32" s="300"/>
      <c r="AV32" s="301">
        <f t="shared" si="14"/>
        <v>0</v>
      </c>
      <c r="AW32" s="304" t="e">
        <f t="shared" si="44"/>
        <v>#DIV/0!</v>
      </c>
      <c r="AX32" s="302" t="e">
        <f t="shared" si="28"/>
        <v>#DIV/0!</v>
      </c>
      <c r="AY32" s="299"/>
      <c r="AZ32" s="120"/>
      <c r="BA32" s="300"/>
      <c r="BB32" s="301"/>
      <c r="BC32" s="304"/>
      <c r="BD32" s="302" t="e">
        <f t="shared" si="29"/>
        <v>#DIV/0!</v>
      </c>
      <c r="BE32" s="299"/>
      <c r="BF32" s="120"/>
      <c r="BG32" s="300"/>
      <c r="BH32" s="301"/>
      <c r="BI32" s="304"/>
      <c r="BJ32" s="302" t="e">
        <f t="shared" si="30"/>
        <v>#DIV/0!</v>
      </c>
      <c r="BK32" s="299"/>
      <c r="BL32" s="120"/>
      <c r="BM32" s="300"/>
      <c r="BN32" s="301"/>
      <c r="BO32" s="304"/>
      <c r="BP32" s="302" t="e">
        <f t="shared" si="31"/>
        <v>#DIV/0!</v>
      </c>
      <c r="BQ32" s="299"/>
      <c r="BR32" s="120"/>
      <c r="BS32" s="300"/>
      <c r="BT32" s="301"/>
      <c r="BU32" s="304"/>
      <c r="BV32" s="302" t="e">
        <f t="shared" si="33"/>
        <v>#DIV/0!</v>
      </c>
      <c r="BW32" s="305">
        <f t="shared" si="40"/>
        <v>0</v>
      </c>
      <c r="BX32" s="330">
        <f t="shared" si="39"/>
        <v>0</v>
      </c>
      <c r="BY32" s="330">
        <f t="shared" si="39"/>
        <v>0</v>
      </c>
      <c r="BZ32" s="301"/>
      <c r="CA32" s="304"/>
      <c r="CB32" s="340" t="e">
        <f t="shared" si="36"/>
        <v>#DIV/0!</v>
      </c>
      <c r="CC32" s="338"/>
      <c r="CD32" s="338"/>
    </row>
    <row r="33" spans="1:82" s="348" customFormat="1" ht="13.5" thickBot="1">
      <c r="A33" s="341" t="s">
        <v>83</v>
      </c>
      <c r="B33" s="342"/>
      <c r="C33" s="343">
        <f>C9+C28</f>
        <v>377669.4</v>
      </c>
      <c r="D33" s="343">
        <f>D9+D28</f>
        <v>313940</v>
      </c>
      <c r="E33" s="344">
        <f>E9+E28</f>
        <v>234305.7</v>
      </c>
      <c r="F33" s="293">
        <f>E33-D33</f>
        <v>-79634.29999999999</v>
      </c>
      <c r="G33" s="295">
        <f t="shared" si="0"/>
        <v>74.63391093839587</v>
      </c>
      <c r="H33" s="345">
        <f>E33/C33%</f>
        <v>62.039895209937576</v>
      </c>
      <c r="I33" s="343">
        <f>I9+I28</f>
        <v>17879.2</v>
      </c>
      <c r="J33" s="343">
        <f>J9+J28</f>
        <v>16224.5</v>
      </c>
      <c r="K33" s="344">
        <f>K9+K28</f>
        <v>16101.4</v>
      </c>
      <c r="L33" s="293">
        <f>K33-J33</f>
        <v>-123.10000000000036</v>
      </c>
      <c r="M33" s="295">
        <f t="shared" si="38"/>
        <v>99.24127091743966</v>
      </c>
      <c r="N33" s="345">
        <f t="shared" si="24"/>
        <v>90.05660208510447</v>
      </c>
      <c r="O33" s="343">
        <f>O9+O28</f>
        <v>32185.100000000002</v>
      </c>
      <c r="P33" s="344">
        <f>P9+P28</f>
        <v>24152.399999999998</v>
      </c>
      <c r="Q33" s="344">
        <f>Q9+Q28</f>
        <v>25178.1</v>
      </c>
      <c r="R33" s="293">
        <f>Q33-P33</f>
        <v>1025.7000000000007</v>
      </c>
      <c r="S33" s="295">
        <f>Q33/P33%</f>
        <v>104.24678292840464</v>
      </c>
      <c r="T33" s="345">
        <f t="shared" si="37"/>
        <v>78.2290563024505</v>
      </c>
      <c r="U33" s="343">
        <f>U9+U28</f>
        <v>10165.900000000001</v>
      </c>
      <c r="V33" s="344">
        <f>V9+V28</f>
        <v>5585.299999999998</v>
      </c>
      <c r="W33" s="344">
        <f>W9+W28</f>
        <v>5602.700000000001</v>
      </c>
      <c r="X33" s="293">
        <f>W33-V33</f>
        <v>17.400000000002365</v>
      </c>
      <c r="Y33" s="295">
        <f>W33/V33%</f>
        <v>100.31153205736491</v>
      </c>
      <c r="Z33" s="345">
        <f t="shared" si="42"/>
        <v>55.11268062837525</v>
      </c>
      <c r="AA33" s="343">
        <f>AA9+AA28</f>
        <v>12596.2</v>
      </c>
      <c r="AB33" s="344">
        <f>AB9+AB28</f>
        <v>8431.9</v>
      </c>
      <c r="AC33" s="344">
        <f>AC9+AC28</f>
        <v>9795.800000000001</v>
      </c>
      <c r="AD33" s="293">
        <f>AC33-AB33</f>
        <v>1363.9000000000015</v>
      </c>
      <c r="AE33" s="295">
        <f t="shared" si="45"/>
        <v>116.17547646437933</v>
      </c>
      <c r="AF33" s="345">
        <f t="shared" si="25"/>
        <v>77.7678982550293</v>
      </c>
      <c r="AG33" s="343">
        <f>AG9+AG28</f>
        <v>59871.1</v>
      </c>
      <c r="AH33" s="344">
        <f>AH9+AH28</f>
        <v>45105.8</v>
      </c>
      <c r="AI33" s="344">
        <f>AI9+AI28</f>
        <v>22499.6</v>
      </c>
      <c r="AJ33" s="293">
        <f>AI33-AH33</f>
        <v>-22606.200000000004</v>
      </c>
      <c r="AK33" s="295">
        <f t="shared" si="43"/>
        <v>49.88183337841252</v>
      </c>
      <c r="AL33" s="345">
        <f t="shared" si="26"/>
        <v>37.580067845755295</v>
      </c>
      <c r="AM33" s="343">
        <f>AM9+AM28</f>
        <v>12907.599999999999</v>
      </c>
      <c r="AN33" s="344">
        <f>AN9+AN28</f>
        <v>8859.300000000001</v>
      </c>
      <c r="AO33" s="344">
        <f>AO9+AO28</f>
        <v>8965.9</v>
      </c>
      <c r="AP33" s="293">
        <f>AO33-AN33</f>
        <v>106.59999999999854</v>
      </c>
      <c r="AQ33" s="295">
        <f t="shared" si="46"/>
        <v>101.20325533620036</v>
      </c>
      <c r="AR33" s="345">
        <f t="shared" si="27"/>
        <v>69.46217732188788</v>
      </c>
      <c r="AS33" s="343">
        <f>AS9+AS28</f>
        <v>12662.5</v>
      </c>
      <c r="AT33" s="344">
        <f>AT9+AT28</f>
        <v>10020.199999999999</v>
      </c>
      <c r="AU33" s="344">
        <f>AU9+AU28</f>
        <v>9527.1</v>
      </c>
      <c r="AV33" s="293">
        <f>AU33-AT33</f>
        <v>-493.09999999999854</v>
      </c>
      <c r="AW33" s="295">
        <f t="shared" si="44"/>
        <v>95.078940540109</v>
      </c>
      <c r="AX33" s="345">
        <f t="shared" si="28"/>
        <v>75.23869693978283</v>
      </c>
      <c r="AY33" s="343">
        <f>AY9+AY28</f>
        <v>12880.599999999999</v>
      </c>
      <c r="AZ33" s="344">
        <f>AZ9+AZ28</f>
        <v>8778.3</v>
      </c>
      <c r="BA33" s="344">
        <f>BA9+BA28</f>
        <v>11056.599999999999</v>
      </c>
      <c r="BB33" s="293">
        <f>BA33-AZ33</f>
        <v>2278.2999999999993</v>
      </c>
      <c r="BC33" s="295">
        <f>BA33/AZ33%</f>
        <v>125.95377237050454</v>
      </c>
      <c r="BD33" s="345">
        <f t="shared" si="29"/>
        <v>85.83916898281136</v>
      </c>
      <c r="BE33" s="343">
        <f>BE9+BE28</f>
        <v>8335.4</v>
      </c>
      <c r="BF33" s="344">
        <f>BF9+BF28</f>
        <v>6592.6</v>
      </c>
      <c r="BG33" s="344">
        <f>BG9+BG28</f>
        <v>6195.1</v>
      </c>
      <c r="BH33" s="293">
        <f>BG33-BF33</f>
        <v>-397.5</v>
      </c>
      <c r="BI33" s="295">
        <f>BG33/BF33%</f>
        <v>93.9705123926827</v>
      </c>
      <c r="BJ33" s="345">
        <f t="shared" si="30"/>
        <v>74.32276795354753</v>
      </c>
      <c r="BK33" s="343">
        <f>BK9+BK28</f>
        <v>68257.59999999999</v>
      </c>
      <c r="BL33" s="344">
        <f>BL9+BL28</f>
        <v>17428.2</v>
      </c>
      <c r="BM33" s="344">
        <f>BM9+BM28</f>
        <v>17520.8</v>
      </c>
      <c r="BN33" s="293">
        <f>BM33-BL33</f>
        <v>92.59999999999854</v>
      </c>
      <c r="BO33" s="295">
        <f>BM33/BL33%</f>
        <v>100.53132279868258</v>
      </c>
      <c r="BP33" s="345">
        <f t="shared" si="31"/>
        <v>25.668643491713745</v>
      </c>
      <c r="BQ33" s="343">
        <f>BQ9+BQ28</f>
        <v>71237.20000000001</v>
      </c>
      <c r="BR33" s="344">
        <f>BR9+BR28</f>
        <v>42238.5</v>
      </c>
      <c r="BS33" s="344">
        <f>BS9+BS28</f>
        <v>43581.2</v>
      </c>
      <c r="BT33" s="293">
        <f>BS33-BR33</f>
        <v>1342.699999999997</v>
      </c>
      <c r="BU33" s="295">
        <f>BS33/BR33%</f>
        <v>103.17885341572261</v>
      </c>
      <c r="BV33" s="345">
        <f t="shared" si="33"/>
        <v>61.177586991066455</v>
      </c>
      <c r="BW33" s="344">
        <f t="shared" si="40"/>
        <v>696647.8</v>
      </c>
      <c r="BX33" s="344">
        <f t="shared" si="39"/>
        <v>507357</v>
      </c>
      <c r="BY33" s="344">
        <f t="shared" si="39"/>
        <v>410329.99999999994</v>
      </c>
      <c r="BZ33" s="293">
        <f>BY33-BX33</f>
        <v>-97027.00000000006</v>
      </c>
      <c r="CA33" s="293">
        <f>BY33/BX33%</f>
        <v>80.87599067323403</v>
      </c>
      <c r="CB33" s="346">
        <f t="shared" si="36"/>
        <v>58.90063817039255</v>
      </c>
      <c r="CC33" s="347"/>
      <c r="CD33" s="347"/>
    </row>
    <row r="34" spans="3:82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</row>
    <row r="35" spans="2:82" ht="12.75">
      <c r="B35" s="11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</row>
    <row r="40" spans="3:82" ht="1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349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spans="3:82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</row>
    <row r="44" ht="12.75">
      <c r="BX44" s="350"/>
    </row>
    <row r="45" ht="12.75">
      <c r="BX45" s="350"/>
    </row>
  </sheetData>
  <sheetProtection/>
  <mergeCells count="40"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  <mergeCell ref="U6:Y6"/>
    <mergeCell ref="AA6:AE6"/>
    <mergeCell ref="AG6:AK6"/>
    <mergeCell ref="AY6:BC6"/>
    <mergeCell ref="AM6:AQ6"/>
    <mergeCell ref="AS6:AW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AN7:AO7"/>
    <mergeCell ref="AP7:AQ7"/>
    <mergeCell ref="AT7:AU7"/>
    <mergeCell ref="AV7:AW7"/>
    <mergeCell ref="AZ7:BA7"/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3" sqref="A4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51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153</v>
      </c>
      <c r="B2" s="351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52"/>
      <c r="B3" s="353"/>
      <c r="C3" s="462"/>
      <c r="D3" s="462"/>
      <c r="E3" s="462"/>
      <c r="F3" s="462"/>
      <c r="G3" s="366"/>
      <c r="H3" s="366"/>
      <c r="I3" s="149"/>
      <c r="J3" s="149"/>
      <c r="K3" s="366"/>
      <c r="L3" s="150" t="s">
        <v>85</v>
      </c>
    </row>
    <row r="4" spans="1:14" ht="15">
      <c r="A4" s="151"/>
      <c r="B4" s="354" t="s">
        <v>120</v>
      </c>
      <c r="C4" s="463" t="s">
        <v>121</v>
      </c>
      <c r="D4" s="464"/>
      <c r="E4" s="464"/>
      <c r="F4" s="465"/>
      <c r="G4" s="469" t="s">
        <v>86</v>
      </c>
      <c r="H4" s="470"/>
      <c r="I4" s="470"/>
      <c r="J4" s="471"/>
      <c r="K4" s="475" t="s">
        <v>87</v>
      </c>
      <c r="L4" s="476"/>
      <c r="M4" s="476"/>
      <c r="N4" s="477"/>
    </row>
    <row r="5" spans="1:14" ht="15">
      <c r="A5" s="152" t="s">
        <v>0</v>
      </c>
      <c r="B5" s="152" t="s">
        <v>122</v>
      </c>
      <c r="C5" s="466"/>
      <c r="D5" s="467"/>
      <c r="E5" s="467"/>
      <c r="F5" s="468"/>
      <c r="G5" s="472"/>
      <c r="H5" s="473"/>
      <c r="I5" s="473"/>
      <c r="J5" s="474"/>
      <c r="K5" s="478"/>
      <c r="L5" s="479"/>
      <c r="M5" s="479"/>
      <c r="N5" s="480"/>
    </row>
    <row r="6" spans="1:14" ht="15">
      <c r="A6" s="152"/>
      <c r="B6" s="152"/>
      <c r="C6" s="153" t="s">
        <v>88</v>
      </c>
      <c r="D6" s="154" t="s">
        <v>89</v>
      </c>
      <c r="E6" s="481" t="s">
        <v>90</v>
      </c>
      <c r="F6" s="482"/>
      <c r="G6" s="153" t="s">
        <v>88</v>
      </c>
      <c r="H6" s="155" t="s">
        <v>89</v>
      </c>
      <c r="I6" s="481" t="s">
        <v>90</v>
      </c>
      <c r="J6" s="482"/>
      <c r="K6" s="153" t="s">
        <v>88</v>
      </c>
      <c r="L6" s="154" t="s">
        <v>89</v>
      </c>
      <c r="M6" s="483" t="s">
        <v>90</v>
      </c>
      <c r="N6" s="484"/>
    </row>
    <row r="7" spans="1:14" ht="12.75">
      <c r="A7" s="156"/>
      <c r="B7" s="156" t="s">
        <v>123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91" t="s">
        <v>92</v>
      </c>
      <c r="B8" s="355" t="s">
        <v>124</v>
      </c>
      <c r="C8" s="163">
        <f>G8+K8-3.1</f>
        <v>629805.7000000001</v>
      </c>
      <c r="D8" s="164">
        <f aca="true" t="shared" si="0" ref="C8:D24">H8+L8</f>
        <v>476787.30000000016</v>
      </c>
      <c r="E8" s="164">
        <f aca="true" t="shared" si="1" ref="E8:E19">D8-C8</f>
        <v>-153018.3999999999</v>
      </c>
      <c r="F8" s="165">
        <f aca="true" t="shared" si="2" ref="F8:F17">D8/C8%</f>
        <v>75.7038718449198</v>
      </c>
      <c r="G8" s="166">
        <f>SUM(G9:G19)+G26+G27+G28+G31+G32</f>
        <v>466112.00000000006</v>
      </c>
      <c r="H8" s="164">
        <f>SUM(H9:H19)+H26+H27+H28+H31+H32</f>
        <v>366918.80000000016</v>
      </c>
      <c r="I8" s="164">
        <f>H8-G8</f>
        <v>-99193.1999999999</v>
      </c>
      <c r="J8" s="167">
        <f>H8/G8%</f>
        <v>78.71902032129618</v>
      </c>
      <c r="K8" s="166">
        <f>SUM(K9:K19)+K26+K27+K28+K31+K32</f>
        <v>163696.8</v>
      </c>
      <c r="L8" s="164">
        <f>SUM(L9:L19)+L26+L27+L28+L31+L32</f>
        <v>109868.49999999997</v>
      </c>
      <c r="M8" s="164">
        <f>L8-K8</f>
        <v>-53828.30000000002</v>
      </c>
      <c r="N8" s="165">
        <f>L8/K8%</f>
        <v>67.1170725389867</v>
      </c>
    </row>
    <row r="9" spans="1:14" ht="15">
      <c r="A9" s="168" t="s">
        <v>63</v>
      </c>
      <c r="B9" s="356" t="s">
        <v>125</v>
      </c>
      <c r="C9" s="169">
        <f t="shared" si="0"/>
        <v>420602.5</v>
      </c>
      <c r="D9" s="170">
        <f t="shared" si="0"/>
        <v>319447.3</v>
      </c>
      <c r="E9" s="170">
        <f t="shared" si="1"/>
        <v>-101155.20000000001</v>
      </c>
      <c r="F9" s="171">
        <f t="shared" si="2"/>
        <v>75.9499289709405</v>
      </c>
      <c r="G9" s="172">
        <v>348402.4</v>
      </c>
      <c r="H9" s="173">
        <v>264461.2</v>
      </c>
      <c r="I9" s="174">
        <f aca="true" t="shared" si="3" ref="I9:I39">H9-G9</f>
        <v>-83941.20000000001</v>
      </c>
      <c r="J9" s="175">
        <f aca="true" t="shared" si="4" ref="J9:J39">H9/G9%</f>
        <v>75.90682498168783</v>
      </c>
      <c r="K9" s="172">
        <v>72200.1</v>
      </c>
      <c r="L9" s="367">
        <v>54986.1</v>
      </c>
      <c r="M9" s="174">
        <f aca="true" t="shared" si="5" ref="M9:M39">L9-K9</f>
        <v>-17214.000000000007</v>
      </c>
      <c r="N9" s="175">
        <f aca="true" t="shared" si="6" ref="N9:N39">L9/K9%</f>
        <v>76.15792775910282</v>
      </c>
    </row>
    <row r="10" spans="1:14" ht="15">
      <c r="A10" s="168" t="s">
        <v>64</v>
      </c>
      <c r="B10" s="356"/>
      <c r="C10" s="169">
        <f t="shared" si="0"/>
        <v>34652.3</v>
      </c>
      <c r="D10" s="170">
        <f t="shared" si="0"/>
        <v>27242.600000000002</v>
      </c>
      <c r="E10" s="170">
        <f t="shared" si="1"/>
        <v>-7409.700000000001</v>
      </c>
      <c r="F10" s="171">
        <f t="shared" si="2"/>
        <v>78.61700377752703</v>
      </c>
      <c r="G10" s="172">
        <v>31819.2</v>
      </c>
      <c r="H10" s="173">
        <v>25015.4</v>
      </c>
      <c r="I10" s="174">
        <f t="shared" si="3"/>
        <v>-6803.799999999999</v>
      </c>
      <c r="J10" s="175">
        <f t="shared" si="4"/>
        <v>78.61731281741842</v>
      </c>
      <c r="K10" s="172">
        <v>2833.1</v>
      </c>
      <c r="L10" s="367">
        <v>2227.2</v>
      </c>
      <c r="M10" s="174">
        <f t="shared" si="5"/>
        <v>-605.9000000000001</v>
      </c>
      <c r="N10" s="175">
        <f t="shared" si="6"/>
        <v>78.61353287917828</v>
      </c>
    </row>
    <row r="11" spans="1:14" ht="25.5" hidden="1">
      <c r="A11" s="176" t="s">
        <v>24</v>
      </c>
      <c r="B11" s="356" t="s">
        <v>126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67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56" t="s">
        <v>127</v>
      </c>
      <c r="C12" s="169">
        <f t="shared" si="0"/>
        <v>24501.5</v>
      </c>
      <c r="D12" s="170">
        <f t="shared" si="0"/>
        <v>14400.4</v>
      </c>
      <c r="E12" s="170">
        <f t="shared" si="1"/>
        <v>-10101.1</v>
      </c>
      <c r="F12" s="171">
        <f t="shared" si="2"/>
        <v>58.773544476868764</v>
      </c>
      <c r="G12" s="172">
        <v>24501.5</v>
      </c>
      <c r="H12" s="173">
        <v>14400.4</v>
      </c>
      <c r="I12" s="174">
        <f t="shared" si="3"/>
        <v>-10101.1</v>
      </c>
      <c r="J12" s="175">
        <f t="shared" si="4"/>
        <v>58.773544476868764</v>
      </c>
      <c r="K12" s="172"/>
      <c r="L12" s="367"/>
      <c r="M12" s="174">
        <f t="shared" si="5"/>
        <v>0</v>
      </c>
      <c r="N12" s="175"/>
    </row>
    <row r="13" spans="1:14" ht="15">
      <c r="A13" s="176" t="s">
        <v>26</v>
      </c>
      <c r="B13" s="356" t="s">
        <v>128</v>
      </c>
      <c r="C13" s="169">
        <f t="shared" si="0"/>
        <v>6757.8</v>
      </c>
      <c r="D13" s="170">
        <f t="shared" si="0"/>
        <v>7349.599999999999</v>
      </c>
      <c r="E13" s="170">
        <f t="shared" si="1"/>
        <v>591.7999999999993</v>
      </c>
      <c r="F13" s="171">
        <f t="shared" si="2"/>
        <v>108.75728787475212</v>
      </c>
      <c r="G13" s="172">
        <v>4182.5</v>
      </c>
      <c r="H13" s="173">
        <v>4255.9</v>
      </c>
      <c r="I13" s="174">
        <f t="shared" si="3"/>
        <v>73.39999999999964</v>
      </c>
      <c r="J13" s="175">
        <f t="shared" si="4"/>
        <v>101.7549312612074</v>
      </c>
      <c r="K13" s="172">
        <v>2575.3</v>
      </c>
      <c r="L13" s="367">
        <v>3093.7</v>
      </c>
      <c r="M13" s="174">
        <f t="shared" si="5"/>
        <v>518.3999999999996</v>
      </c>
      <c r="N13" s="175">
        <f t="shared" si="6"/>
        <v>120.12969362792684</v>
      </c>
    </row>
    <row r="14" spans="1:14" ht="25.5">
      <c r="A14" s="176" t="s">
        <v>28</v>
      </c>
      <c r="B14" s="356"/>
      <c r="C14" s="169">
        <f t="shared" si="0"/>
        <v>2000</v>
      </c>
      <c r="D14" s="170">
        <f t="shared" si="0"/>
        <v>731.9</v>
      </c>
      <c r="E14" s="170"/>
      <c r="F14" s="171"/>
      <c r="G14" s="172">
        <v>2000</v>
      </c>
      <c r="H14" s="173">
        <v>731.9</v>
      </c>
      <c r="I14" s="174">
        <f t="shared" si="3"/>
        <v>-1268.1</v>
      </c>
      <c r="J14" s="175">
        <f t="shared" si="4"/>
        <v>36.595</v>
      </c>
      <c r="K14" s="172"/>
      <c r="L14" s="367"/>
      <c r="M14" s="174">
        <f t="shared" si="5"/>
        <v>0</v>
      </c>
      <c r="N14" s="175"/>
    </row>
    <row r="15" spans="1:14" ht="15">
      <c r="A15" s="176" t="s">
        <v>65</v>
      </c>
      <c r="B15" s="357" t="s">
        <v>129</v>
      </c>
      <c r="C15" s="169">
        <f t="shared" si="0"/>
        <v>10412.9</v>
      </c>
      <c r="D15" s="170">
        <f t="shared" si="0"/>
        <v>3240.5</v>
      </c>
      <c r="E15" s="170">
        <f t="shared" si="1"/>
        <v>-7172.4</v>
      </c>
      <c r="F15" s="171">
        <f t="shared" si="2"/>
        <v>31.120053011168842</v>
      </c>
      <c r="G15" s="172"/>
      <c r="H15" s="173"/>
      <c r="I15" s="174">
        <f t="shared" si="3"/>
        <v>0</v>
      </c>
      <c r="J15" s="175"/>
      <c r="K15" s="172">
        <v>10412.9</v>
      </c>
      <c r="L15" s="367">
        <v>3240.5</v>
      </c>
      <c r="M15" s="174">
        <f t="shared" si="5"/>
        <v>-7172.4</v>
      </c>
      <c r="N15" s="175">
        <f t="shared" si="6"/>
        <v>31.120053011168842</v>
      </c>
    </row>
    <row r="16" spans="1:14" ht="15">
      <c r="A16" s="177" t="s">
        <v>66</v>
      </c>
      <c r="B16" s="357" t="s">
        <v>130</v>
      </c>
      <c r="C16" s="169">
        <f t="shared" si="0"/>
        <v>63525.4</v>
      </c>
      <c r="D16" s="170">
        <f t="shared" si="0"/>
        <v>33087.2</v>
      </c>
      <c r="E16" s="170">
        <f t="shared" si="1"/>
        <v>-30438.200000000004</v>
      </c>
      <c r="F16" s="171">
        <f t="shared" si="2"/>
        <v>52.08499277454372</v>
      </c>
      <c r="G16" s="172"/>
      <c r="H16" s="173"/>
      <c r="I16" s="174">
        <f t="shared" si="3"/>
        <v>0</v>
      </c>
      <c r="J16" s="175"/>
      <c r="K16" s="172">
        <v>63525.4</v>
      </c>
      <c r="L16" s="367">
        <v>33087.2</v>
      </c>
      <c r="M16" s="174">
        <f t="shared" si="5"/>
        <v>-30438.200000000004</v>
      </c>
      <c r="N16" s="175">
        <f t="shared" si="6"/>
        <v>52.08499277454372</v>
      </c>
    </row>
    <row r="17" spans="1:14" ht="15">
      <c r="A17" s="178" t="s">
        <v>93</v>
      </c>
      <c r="B17" s="358" t="s">
        <v>131</v>
      </c>
      <c r="C17" s="169">
        <f t="shared" si="0"/>
        <v>14951.9</v>
      </c>
      <c r="D17" s="170">
        <f t="shared" si="0"/>
        <v>12393.2</v>
      </c>
      <c r="E17" s="170">
        <f t="shared" si="1"/>
        <v>-2558.699999999999</v>
      </c>
      <c r="F17" s="171">
        <f t="shared" si="2"/>
        <v>82.88712471324715</v>
      </c>
      <c r="G17" s="172">
        <v>14379</v>
      </c>
      <c r="H17" s="173">
        <v>11957.2</v>
      </c>
      <c r="I17" s="174">
        <f t="shared" si="3"/>
        <v>-2421.7999999999993</v>
      </c>
      <c r="J17" s="175">
        <f t="shared" si="4"/>
        <v>83.15738229362266</v>
      </c>
      <c r="K17" s="179">
        <v>572.9</v>
      </c>
      <c r="L17" s="367">
        <v>436</v>
      </c>
      <c r="M17" s="174">
        <f t="shared" si="5"/>
        <v>-136.89999999999998</v>
      </c>
      <c r="N17" s="175">
        <f t="shared" si="6"/>
        <v>76.10403211729796</v>
      </c>
    </row>
    <row r="18" spans="1:14" ht="15">
      <c r="A18" s="176" t="s">
        <v>94</v>
      </c>
      <c r="B18" s="358" t="s">
        <v>132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59" t="s">
        <v>133</v>
      </c>
      <c r="C19" s="169">
        <f>G19+K19-16.1</f>
        <v>37543.9</v>
      </c>
      <c r="D19" s="170">
        <f t="shared" si="0"/>
        <v>25417.799999999996</v>
      </c>
      <c r="E19" s="170">
        <f t="shared" si="1"/>
        <v>-12126.100000000006</v>
      </c>
      <c r="F19" s="171">
        <f>D19/C19%</f>
        <v>67.70154405908815</v>
      </c>
      <c r="G19" s="182">
        <f>SUM(G20:G25)</f>
        <v>27588.7</v>
      </c>
      <c r="H19" s="174">
        <f>SUM(H20:H25)</f>
        <v>17617.899999999998</v>
      </c>
      <c r="I19" s="174">
        <f t="shared" si="3"/>
        <v>-9970.800000000003</v>
      </c>
      <c r="J19" s="175">
        <f t="shared" si="4"/>
        <v>63.85911623237049</v>
      </c>
      <c r="K19" s="172">
        <f>SUM(K20:K25)</f>
        <v>9971.3</v>
      </c>
      <c r="L19" s="174">
        <f>SUM(L20:L25)</f>
        <v>7799.9</v>
      </c>
      <c r="M19" s="174">
        <f t="shared" si="5"/>
        <v>-2171.3999999999996</v>
      </c>
      <c r="N19" s="175">
        <f t="shared" si="6"/>
        <v>78.22350144915909</v>
      </c>
    </row>
    <row r="20" spans="1:14" ht="25.5" hidden="1">
      <c r="A20" s="183" t="s">
        <v>34</v>
      </c>
      <c r="B20" s="360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60"/>
      <c r="C21" s="184"/>
      <c r="D21" s="185"/>
      <c r="E21" s="185"/>
      <c r="F21" s="186"/>
      <c r="G21" s="184">
        <v>19.2</v>
      </c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61" t="s">
        <v>134</v>
      </c>
      <c r="C22" s="184">
        <f t="shared" si="0"/>
        <v>26079.100000000002</v>
      </c>
      <c r="D22" s="185">
        <f t="shared" si="0"/>
        <v>17415.4</v>
      </c>
      <c r="E22" s="185">
        <f aca="true" t="shared" si="7" ref="E22:E38">D22-C22</f>
        <v>-8663.7</v>
      </c>
      <c r="F22" s="186">
        <f>D22/C22%</f>
        <v>66.77914498583158</v>
      </c>
      <c r="G22" s="184">
        <v>19936.4</v>
      </c>
      <c r="H22" s="187">
        <v>12856</v>
      </c>
      <c r="I22" s="185">
        <f t="shared" si="3"/>
        <v>-7080.4000000000015</v>
      </c>
      <c r="J22" s="186">
        <f t="shared" si="4"/>
        <v>64.48506249874602</v>
      </c>
      <c r="K22" s="184">
        <v>6142.7</v>
      </c>
      <c r="L22" s="185">
        <v>4559.4</v>
      </c>
      <c r="M22" s="185">
        <f t="shared" si="5"/>
        <v>-1583.3000000000002</v>
      </c>
      <c r="N22" s="186">
        <f t="shared" si="6"/>
        <v>74.22468946880036</v>
      </c>
    </row>
    <row r="23" spans="1:14" ht="15">
      <c r="A23" s="188" t="s">
        <v>36</v>
      </c>
      <c r="B23" s="361" t="s">
        <v>135</v>
      </c>
      <c r="C23" s="184">
        <f t="shared" si="0"/>
        <v>9276.1</v>
      </c>
      <c r="D23" s="185">
        <f t="shared" si="0"/>
        <v>6076.2</v>
      </c>
      <c r="E23" s="185">
        <f t="shared" si="7"/>
        <v>-3199.9000000000005</v>
      </c>
      <c r="F23" s="186">
        <f>D23/C23%</f>
        <v>65.50382164918446</v>
      </c>
      <c r="G23" s="184">
        <v>7283.3</v>
      </c>
      <c r="H23" s="187">
        <v>4363.7</v>
      </c>
      <c r="I23" s="185">
        <f t="shared" si="3"/>
        <v>-2919.6000000000004</v>
      </c>
      <c r="J23" s="186">
        <f t="shared" si="4"/>
        <v>59.913775349086265</v>
      </c>
      <c r="K23" s="184">
        <v>1992.8</v>
      </c>
      <c r="L23" s="185">
        <v>1712.5</v>
      </c>
      <c r="M23" s="185">
        <f t="shared" si="5"/>
        <v>-280.29999999999995</v>
      </c>
      <c r="N23" s="186">
        <f t="shared" si="6"/>
        <v>85.93436370935368</v>
      </c>
    </row>
    <row r="24" spans="1:14" ht="25.5">
      <c r="A24" s="188" t="s">
        <v>97</v>
      </c>
      <c r="B24" s="360" t="s">
        <v>136</v>
      </c>
      <c r="C24" s="184">
        <f t="shared" si="0"/>
        <v>148.5</v>
      </c>
      <c r="D24" s="185">
        <f t="shared" si="0"/>
        <v>161.7</v>
      </c>
      <c r="E24" s="185">
        <f t="shared" si="7"/>
        <v>13.199999999999989</v>
      </c>
      <c r="F24" s="186">
        <f>D24/C24%</f>
        <v>108.88888888888887</v>
      </c>
      <c r="G24" s="184">
        <v>115</v>
      </c>
      <c r="H24" s="187">
        <v>80.6</v>
      </c>
      <c r="I24" s="185">
        <f t="shared" si="3"/>
        <v>-34.400000000000006</v>
      </c>
      <c r="J24" s="186">
        <f t="shared" si="4"/>
        <v>70.08695652173913</v>
      </c>
      <c r="K24" s="189">
        <v>33.5</v>
      </c>
      <c r="L24" s="185">
        <v>81.1</v>
      </c>
      <c r="M24" s="185">
        <f t="shared" si="5"/>
        <v>47.599999999999994</v>
      </c>
      <c r="N24" s="186">
        <f t="shared" si="6"/>
        <v>242.08955223880594</v>
      </c>
    </row>
    <row r="25" spans="1:14" ht="25.5">
      <c r="A25" s="190" t="s">
        <v>98</v>
      </c>
      <c r="B25" s="360"/>
      <c r="C25" s="184">
        <f aca="true" t="shared" si="8" ref="C25:D32">G25+K25</f>
        <v>2037.1</v>
      </c>
      <c r="D25" s="185">
        <f t="shared" si="8"/>
        <v>1764.5</v>
      </c>
      <c r="E25" s="185">
        <f>D25-C25</f>
        <v>-272.5999999999999</v>
      </c>
      <c r="F25" s="186">
        <f>D25/C25%</f>
        <v>86.618231800108</v>
      </c>
      <c r="G25" s="184">
        <v>234.8</v>
      </c>
      <c r="H25" s="187">
        <v>317.6</v>
      </c>
      <c r="I25" s="185">
        <f t="shared" si="3"/>
        <v>82.80000000000001</v>
      </c>
      <c r="J25" s="186">
        <f t="shared" si="4"/>
        <v>135.2640545144804</v>
      </c>
      <c r="K25" s="191">
        <v>1802.3</v>
      </c>
      <c r="L25" s="185">
        <v>1446.9</v>
      </c>
      <c r="M25" s="185">
        <f t="shared" si="5"/>
        <v>-355.39999999999986</v>
      </c>
      <c r="N25" s="186">
        <f t="shared" si="6"/>
        <v>80.28075237196916</v>
      </c>
    </row>
    <row r="26" spans="1:14" ht="25.5">
      <c r="A26" s="176" t="s">
        <v>39</v>
      </c>
      <c r="B26" s="356" t="s">
        <v>137</v>
      </c>
      <c r="C26" s="169">
        <f t="shared" si="8"/>
        <v>2033.4</v>
      </c>
      <c r="D26" s="170">
        <f t="shared" si="8"/>
        <v>1728.7</v>
      </c>
      <c r="E26" s="170">
        <f t="shared" si="7"/>
        <v>-304.70000000000005</v>
      </c>
      <c r="F26" s="171">
        <f>D26/C26%</f>
        <v>85.01524540179011</v>
      </c>
      <c r="G26" s="172">
        <v>2033.4</v>
      </c>
      <c r="H26" s="180">
        <v>1728.7</v>
      </c>
      <c r="I26" s="174">
        <f t="shared" si="3"/>
        <v>-304.70000000000005</v>
      </c>
      <c r="J26" s="175">
        <f t="shared" si="4"/>
        <v>85.01524540179011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56"/>
      <c r="C27" s="169">
        <f t="shared" si="8"/>
        <v>503.6</v>
      </c>
      <c r="D27" s="170">
        <f t="shared" si="8"/>
        <v>729.8000000000001</v>
      </c>
      <c r="E27" s="170">
        <f t="shared" si="7"/>
        <v>226.20000000000005</v>
      </c>
      <c r="F27" s="171"/>
      <c r="G27" s="172">
        <v>434.8</v>
      </c>
      <c r="H27" s="173">
        <v>551.7</v>
      </c>
      <c r="I27" s="174">
        <f t="shared" si="3"/>
        <v>116.90000000000003</v>
      </c>
      <c r="J27" s="175">
        <f t="shared" si="4"/>
        <v>126.8859245630175</v>
      </c>
      <c r="K27" s="192">
        <v>68.8</v>
      </c>
      <c r="L27" s="174">
        <v>178.1</v>
      </c>
      <c r="M27" s="174">
        <f t="shared" si="5"/>
        <v>109.3</v>
      </c>
      <c r="N27" s="175"/>
    </row>
    <row r="28" spans="1:14" ht="25.5">
      <c r="A28" s="193" t="s">
        <v>42</v>
      </c>
      <c r="B28" s="358" t="s">
        <v>138</v>
      </c>
      <c r="C28" s="169">
        <f t="shared" si="8"/>
        <v>5271.6</v>
      </c>
      <c r="D28" s="170">
        <f t="shared" si="8"/>
        <v>21051</v>
      </c>
      <c r="E28" s="170">
        <f t="shared" si="7"/>
        <v>15779.4</v>
      </c>
      <c r="F28" s="171"/>
      <c r="G28" s="182">
        <f>SUM(G29:G30)</f>
        <v>4567.1</v>
      </c>
      <c r="H28" s="174">
        <f>SUM(H29:H30)</f>
        <v>17942.1</v>
      </c>
      <c r="I28" s="174">
        <f t="shared" si="3"/>
        <v>13374.999999999998</v>
      </c>
      <c r="J28" s="175"/>
      <c r="K28" s="182">
        <f>SUM(K29:K30)</f>
        <v>704.5</v>
      </c>
      <c r="L28" s="174">
        <f>SUM(L29:L30)</f>
        <v>3108.9</v>
      </c>
      <c r="M28" s="174">
        <f t="shared" si="5"/>
        <v>2404.4</v>
      </c>
      <c r="N28" s="175"/>
    </row>
    <row r="29" spans="1:14" ht="15">
      <c r="A29" s="194" t="s">
        <v>43</v>
      </c>
      <c r="B29" s="362" t="s">
        <v>139</v>
      </c>
      <c r="C29" s="195">
        <f t="shared" si="8"/>
        <v>1514.5</v>
      </c>
      <c r="D29" s="196">
        <f t="shared" si="8"/>
        <v>2657.7</v>
      </c>
      <c r="E29" s="185">
        <f t="shared" si="7"/>
        <v>1143.1999999999998</v>
      </c>
      <c r="F29" s="186"/>
      <c r="G29" s="195">
        <v>810</v>
      </c>
      <c r="H29" s="197">
        <v>1024.8</v>
      </c>
      <c r="I29" s="185">
        <f t="shared" si="3"/>
        <v>214.79999999999995</v>
      </c>
      <c r="J29" s="186"/>
      <c r="K29" s="195">
        <v>704.5</v>
      </c>
      <c r="L29" s="196">
        <v>1632.9</v>
      </c>
      <c r="M29" s="185">
        <f t="shared" si="5"/>
        <v>928.4000000000001</v>
      </c>
      <c r="N29" s="175"/>
    </row>
    <row r="30" spans="1:14" ht="15">
      <c r="A30" s="194" t="s">
        <v>75</v>
      </c>
      <c r="B30" s="362" t="s">
        <v>140</v>
      </c>
      <c r="C30" s="198">
        <f t="shared" si="8"/>
        <v>3757.1</v>
      </c>
      <c r="D30" s="196">
        <f t="shared" si="8"/>
        <v>18393.3</v>
      </c>
      <c r="E30" s="185">
        <f t="shared" si="7"/>
        <v>14636.199999999999</v>
      </c>
      <c r="F30" s="186"/>
      <c r="G30" s="195">
        <v>3757.1</v>
      </c>
      <c r="H30" s="197">
        <v>16917.3</v>
      </c>
      <c r="I30" s="185">
        <f t="shared" si="3"/>
        <v>13160.199999999999</v>
      </c>
      <c r="J30" s="186"/>
      <c r="K30" s="195"/>
      <c r="L30" s="196">
        <v>1476</v>
      </c>
      <c r="M30" s="185">
        <f t="shared" si="5"/>
        <v>1476</v>
      </c>
      <c r="N30" s="175"/>
    </row>
    <row r="31" spans="1:14" ht="15">
      <c r="A31" s="193" t="s">
        <v>100</v>
      </c>
      <c r="B31" s="358" t="s">
        <v>141</v>
      </c>
      <c r="C31" s="199">
        <f t="shared" si="8"/>
        <v>7035.9</v>
      </c>
      <c r="D31" s="170">
        <f t="shared" si="8"/>
        <v>9967.3</v>
      </c>
      <c r="E31" s="170">
        <f t="shared" si="7"/>
        <v>2931.3999999999996</v>
      </c>
      <c r="F31" s="171">
        <f>D31/C31%</f>
        <v>141.6634687815347</v>
      </c>
      <c r="G31" s="172">
        <v>6203.4</v>
      </c>
      <c r="H31" s="173">
        <v>8256.4</v>
      </c>
      <c r="I31" s="174">
        <f t="shared" si="3"/>
        <v>2053</v>
      </c>
      <c r="J31" s="175">
        <f t="shared" si="4"/>
        <v>133.0947544894735</v>
      </c>
      <c r="K31" s="200">
        <v>832.5</v>
      </c>
      <c r="L31" s="174">
        <v>1710.9</v>
      </c>
      <c r="M31" s="174">
        <f t="shared" si="5"/>
        <v>878.4000000000001</v>
      </c>
      <c r="N31" s="175">
        <f t="shared" si="6"/>
        <v>205.51351351351354</v>
      </c>
    </row>
    <row r="32" spans="1:14" ht="15">
      <c r="A32" s="178" t="s">
        <v>46</v>
      </c>
      <c r="B32" s="358" t="s">
        <v>142</v>
      </c>
      <c r="C32" s="169">
        <f t="shared" si="8"/>
        <v>0</v>
      </c>
      <c r="D32" s="170">
        <f t="shared" si="8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63"/>
      <c r="C33" s="202">
        <f>SUM(C34:C38)</f>
        <v>2848001.5</v>
      </c>
      <c r="D33" s="203">
        <f>SUM(D34:D38)</f>
        <v>2056322.2</v>
      </c>
      <c r="E33" s="204">
        <f t="shared" si="7"/>
        <v>-791679.3</v>
      </c>
      <c r="F33" s="205">
        <f>D33/C33%</f>
        <v>72.20228641031264</v>
      </c>
      <c r="G33" s="202">
        <f>SUM(G34:G38)</f>
        <v>2725900.5999999996</v>
      </c>
      <c r="H33" s="206">
        <f>SUM(H34:H38)</f>
        <v>1975016.5</v>
      </c>
      <c r="I33" s="204">
        <f t="shared" si="3"/>
        <v>-750884.0999999996</v>
      </c>
      <c r="J33" s="205">
        <f t="shared" si="4"/>
        <v>72.45372410131169</v>
      </c>
      <c r="K33" s="207">
        <f>SUM(K34:K38)</f>
        <v>532951</v>
      </c>
      <c r="L33" s="203">
        <f>SUM(L34:L38)</f>
        <v>300520.4</v>
      </c>
      <c r="M33" s="204">
        <f t="shared" si="5"/>
        <v>-232430.59999999998</v>
      </c>
      <c r="N33" s="205">
        <f t="shared" si="6"/>
        <v>56.387998146171036</v>
      </c>
    </row>
    <row r="34" spans="1:14" ht="15">
      <c r="A34" s="120" t="s">
        <v>79</v>
      </c>
      <c r="B34" s="364" t="s">
        <v>143</v>
      </c>
      <c r="C34" s="169">
        <f>G34+K34</f>
        <v>344630.6</v>
      </c>
      <c r="D34" s="170">
        <f>H34+L34</f>
        <v>270036.6</v>
      </c>
      <c r="E34" s="170">
        <f t="shared" si="7"/>
        <v>-74594</v>
      </c>
      <c r="F34" s="171">
        <f>D34/C34%</f>
        <v>78.35537529168913</v>
      </c>
      <c r="G34" s="208">
        <v>255679.6</v>
      </c>
      <c r="H34" s="209">
        <v>190448.8</v>
      </c>
      <c r="I34" s="174">
        <f t="shared" si="3"/>
        <v>-65230.80000000002</v>
      </c>
      <c r="J34" s="175">
        <f t="shared" si="4"/>
        <v>74.48728799638296</v>
      </c>
      <c r="K34" s="208">
        <v>88951</v>
      </c>
      <c r="L34" s="210">
        <v>79587.8</v>
      </c>
      <c r="M34" s="174">
        <f t="shared" si="5"/>
        <v>-9363.199999999997</v>
      </c>
      <c r="N34" s="175">
        <f t="shared" si="6"/>
        <v>89.47375521354454</v>
      </c>
    </row>
    <row r="35" spans="1:14" ht="15">
      <c r="A35" s="120" t="s">
        <v>101</v>
      </c>
      <c r="B35" s="364" t="s">
        <v>144</v>
      </c>
      <c r="C35" s="169">
        <f>G35</f>
        <v>631551.1</v>
      </c>
      <c r="D35" s="169">
        <f>H35</f>
        <v>362211.6</v>
      </c>
      <c r="E35" s="170">
        <f t="shared" si="7"/>
        <v>-269339.5</v>
      </c>
      <c r="F35" s="171">
        <f>D35/C35%</f>
        <v>57.35269877607687</v>
      </c>
      <c r="G35" s="208">
        <v>631551.1</v>
      </c>
      <c r="H35" s="209">
        <v>362211.6</v>
      </c>
      <c r="I35" s="174">
        <f t="shared" si="3"/>
        <v>-269339.5</v>
      </c>
      <c r="J35" s="175">
        <f t="shared" si="4"/>
        <v>57.35269877607687</v>
      </c>
      <c r="K35" s="208"/>
      <c r="L35" s="210"/>
      <c r="M35" s="174">
        <f t="shared" si="5"/>
        <v>0</v>
      </c>
      <c r="N35" s="175"/>
    </row>
    <row r="36" spans="1:14" ht="15">
      <c r="A36" s="120" t="s">
        <v>102</v>
      </c>
      <c r="B36" s="364" t="s">
        <v>145</v>
      </c>
      <c r="C36" s="169">
        <f>G36+K36</f>
        <v>1771508.4000000001</v>
      </c>
      <c r="D36" s="169">
        <f>H36+L36</f>
        <v>1359991.7</v>
      </c>
      <c r="E36" s="170">
        <f t="shared" si="7"/>
        <v>-411516.7000000002</v>
      </c>
      <c r="F36" s="171">
        <f>D36/C36%</f>
        <v>76.77026538513731</v>
      </c>
      <c r="G36" s="211">
        <v>1769193.6</v>
      </c>
      <c r="H36" s="212">
        <v>1358273.8</v>
      </c>
      <c r="I36" s="174">
        <f t="shared" si="3"/>
        <v>-410919.80000000005</v>
      </c>
      <c r="J36" s="175">
        <f t="shared" si="4"/>
        <v>76.77361030471735</v>
      </c>
      <c r="K36" s="211">
        <v>2314.8</v>
      </c>
      <c r="L36" s="213">
        <v>1717.9</v>
      </c>
      <c r="M36" s="174">
        <f t="shared" si="5"/>
        <v>-596.9000000000001</v>
      </c>
      <c r="N36" s="175">
        <f t="shared" si="6"/>
        <v>74.2137549680318</v>
      </c>
    </row>
    <row r="37" spans="1:14" ht="15">
      <c r="A37" s="214" t="s">
        <v>81</v>
      </c>
      <c r="B37" s="364"/>
      <c r="C37" s="169">
        <v>100311.4</v>
      </c>
      <c r="D37" s="170">
        <v>64082.3</v>
      </c>
      <c r="E37" s="170">
        <f t="shared" si="7"/>
        <v>-36229.09999999999</v>
      </c>
      <c r="F37" s="171">
        <f>D37/C37%</f>
        <v>63.88336719455616</v>
      </c>
      <c r="G37" s="211">
        <v>69476.3</v>
      </c>
      <c r="H37" s="212">
        <v>64082.3</v>
      </c>
      <c r="I37" s="174">
        <f t="shared" si="3"/>
        <v>-5394</v>
      </c>
      <c r="J37" s="175">
        <f t="shared" si="4"/>
        <v>92.23620140968934</v>
      </c>
      <c r="K37" s="211">
        <v>441685.2</v>
      </c>
      <c r="L37" s="213">
        <v>219214.7</v>
      </c>
      <c r="M37" s="174">
        <f t="shared" si="5"/>
        <v>-222470.5</v>
      </c>
      <c r="N37" s="175">
        <f t="shared" si="6"/>
        <v>49.63143433377437</v>
      </c>
    </row>
    <row r="38" spans="1:14" ht="15">
      <c r="A38" s="214" t="s">
        <v>82</v>
      </c>
      <c r="B38" s="364" t="s">
        <v>146</v>
      </c>
      <c r="C38" s="169">
        <f>G38+K38</f>
        <v>0</v>
      </c>
      <c r="D38" s="170">
        <f>H38+L38</f>
        <v>0</v>
      </c>
      <c r="E38" s="170">
        <f t="shared" si="7"/>
        <v>0</v>
      </c>
      <c r="F38" s="171"/>
      <c r="G38" s="211"/>
      <c r="H38" s="212"/>
      <c r="I38" s="174"/>
      <c r="J38" s="175"/>
      <c r="K38" s="215"/>
      <c r="L38" s="213"/>
      <c r="M38" s="174">
        <f t="shared" si="5"/>
        <v>0</v>
      </c>
      <c r="N38" s="175"/>
    </row>
    <row r="39" spans="1:14" ht="16.5" thickBot="1">
      <c r="A39" s="216" t="s">
        <v>83</v>
      </c>
      <c r="B39" s="365"/>
      <c r="C39" s="217">
        <f>C8+C33</f>
        <v>3477807.2</v>
      </c>
      <c r="D39" s="217">
        <f>D8+D33</f>
        <v>2533109.5</v>
      </c>
      <c r="E39" s="218">
        <f>D39-C39</f>
        <v>-944697.7000000002</v>
      </c>
      <c r="F39" s="219">
        <f>D39/C39%</f>
        <v>72.83639817641415</v>
      </c>
      <c r="G39" s="217">
        <f>G8+G33</f>
        <v>3192012.5999999996</v>
      </c>
      <c r="H39" s="217">
        <f>H8+H33</f>
        <v>2341935.3000000003</v>
      </c>
      <c r="I39" s="218">
        <f t="shared" si="3"/>
        <v>-850077.2999999993</v>
      </c>
      <c r="J39" s="219">
        <f t="shared" si="4"/>
        <v>73.36861076300265</v>
      </c>
      <c r="K39" s="217">
        <f>K8+K33</f>
        <v>696647.8</v>
      </c>
      <c r="L39" s="217">
        <f>L8+L33</f>
        <v>410388.9</v>
      </c>
      <c r="M39" s="218">
        <f t="shared" si="5"/>
        <v>-286258.9</v>
      </c>
      <c r="N39" s="219">
        <f t="shared" si="6"/>
        <v>58.90909294481372</v>
      </c>
    </row>
    <row r="42" spans="3:4" ht="15">
      <c r="C42" s="485"/>
      <c r="D42" s="485"/>
    </row>
    <row r="43" spans="3:4" ht="15">
      <c r="C43" s="485"/>
      <c r="D43" s="485"/>
    </row>
    <row r="44" spans="3:12" ht="12.75">
      <c r="C44" s="141"/>
      <c r="D44" s="141"/>
      <c r="G44" s="141"/>
      <c r="H44" s="141"/>
      <c r="K44" s="141"/>
      <c r="L44" s="141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2019-03-26T12:17:02Z</dcterms:modified>
  <cp:category/>
  <cp:version/>
  <cp:contentType/>
  <cp:contentStatus/>
</cp:coreProperties>
</file>